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oxana\Downloads\"/>
    </mc:Choice>
  </mc:AlternateContent>
  <xr:revisionPtr revIDLastSave="0" documentId="13_ncr:1_{3BB5D398-9E01-4E9E-A6A8-88573B189CEE}" xr6:coauthVersionLast="47" xr6:coauthVersionMax="47" xr10:uidLastSave="{00000000-0000-0000-0000-000000000000}"/>
  <bookViews>
    <workbookView xWindow="1185" yWindow="2340" windowWidth="27615" windowHeight="9945" xr2:uid="{00000000-000D-0000-FFFF-FFFF00000000}"/>
  </bookViews>
  <sheets>
    <sheet name="DATASETS Cuarto Trimestre" sheetId="3" r:id="rId1"/>
  </sheets>
  <definedNames>
    <definedName name="Z_55B376B8_1F83_4EB0_AC61_A6ED25315249_.wvu.FilterData" localSheetId="0" hidden="1">'DATASETS Cuarto Trimestre'!$A$2:$J$1604</definedName>
  </definedNames>
  <calcPr calcId="191029"/>
  <customWorkbookViews>
    <customWorkbookView name="Filtro 3" guid="{7C06C2ED-8CEB-4131-9239-0A8D64E89BE7}" maximized="1" windowWidth="0" windowHeight="0" activeSheetId="0"/>
    <customWorkbookView name="Filtro 2" guid="{AFD9CB16-43A8-436A-B86D-556C99B511A3}" maximized="1" windowWidth="0" windowHeight="0" activeSheetId="0"/>
    <customWorkbookView name="Filtro 19" guid="{D66DE819-225D-43E4-8297-4698A494ACFB}" maximized="1" windowWidth="0" windowHeight="0" activeSheetId="0"/>
    <customWorkbookView name="Filtro 1" guid="{55B376B8-1F83-4EB0-AC61-A6ED25315249}" maximized="1" windowWidth="0" windowHeight="0" activeSheetId="0"/>
    <customWorkbookView name="Filtro 7" guid="{97972FEB-23C4-4A22-8549-959C22C84CE7}" maximized="1" windowWidth="0" windowHeight="0" activeSheetId="0"/>
    <customWorkbookView name="Filtro 6" guid="{0A5A3E95-F208-4148-9F53-37E29080B987}" maximized="1" windowWidth="0" windowHeight="0" activeSheetId="0"/>
    <customWorkbookView name="Filtro 5" guid="{A12B5BD6-FCDB-464D-B84C-8F1B573AF831}" maximized="1" windowWidth="0" windowHeight="0" activeSheetId="0"/>
    <customWorkbookView name="Filtro 4" guid="{9BA32ADE-4FA8-4078-8665-DE44287D7371}" maximized="1" windowWidth="0" windowHeight="0" activeSheetId="0"/>
    <customWorkbookView name="Filtro 21" guid="{91DBFCC1-EBCE-4532-A904-35E84191C85A}" maximized="1" windowWidth="0" windowHeight="0" activeSheetId="0"/>
    <customWorkbookView name="Filtro 10" guid="{61628F86-DE02-4087-8490-A1DB82BB74FB}" maximized="1" windowWidth="0" windowHeight="0" activeSheetId="0"/>
    <customWorkbookView name="Filtro 20" guid="{E0B0F31C-3852-400D-9FAF-D366EE474F8D}" maximized="1" windowWidth="0" windowHeight="0" activeSheetId="0"/>
    <customWorkbookView name="Filtro 12" guid="{56C49709-AC27-44CF-9D89-5409FA1D9CAF}" maximized="1" windowWidth="0" windowHeight="0" activeSheetId="0"/>
    <customWorkbookView name="Filtro 11" guid="{D32EAFE7-506A-48D7-BD83-B6E2B632E8DB}" maximized="1" windowWidth="0" windowHeight="0" activeSheetId="0"/>
    <customWorkbookView name="Filtro 22" guid="{FC271E6F-C93F-4C08-8306-03E0BA212DB8}" maximized="1" windowWidth="0" windowHeight="0" activeSheetId="0"/>
    <customWorkbookView name="Filtro 14" guid="{97CFC42B-4A16-4DC8-B28A-E161CDBA8519}" maximized="1" windowWidth="0" windowHeight="0" activeSheetId="0"/>
    <customWorkbookView name="Filtro 9" guid="{98510AE6-D040-4BC0-8C53-37FDDC5A9EA9}" maximized="1" windowWidth="0" windowHeight="0" activeSheetId="0"/>
    <customWorkbookView name="Filtro 8" guid="{AFA4F89C-5D9F-4C0A-A41C-DE37A786A363}" maximized="1" windowWidth="0" windowHeight="0" activeSheetId="0"/>
    <customWorkbookView name="Filtro 13" guid="{67B309E6-DF23-4DA7-B2B6-92533A7F39A6}" maximized="1" windowWidth="0" windowHeight="0" activeSheetId="0"/>
    <customWorkbookView name="Filtro 16" guid="{B9125C21-BF75-49EB-A737-C24D038BD76D}" maximized="1" windowWidth="0" windowHeight="0" activeSheetId="0"/>
    <customWorkbookView name="Filtro 15" guid="{7BDE9D24-BB3B-4F9C-85EE-4818BA503D47}" maximized="1" windowWidth="0" windowHeight="0" activeSheetId="0"/>
    <customWorkbookView name="Filtro 18" guid="{AD86A8BA-F46C-494F-93E6-FF1F5D5A8F66}" maximized="1" windowWidth="0" windowHeight="0" activeSheetId="0"/>
    <customWorkbookView name="Filtro 17" guid="{8F00B0A9-3B97-42DA-B334-828DD12FE9A2}" maximized="1" windowWidth="0" windowHeight="0" activeSheetId="0"/>
  </customWorkbookViews>
</workbook>
</file>

<file path=xl/calcChain.xml><?xml version="1.0" encoding="utf-8"?>
<calcChain xmlns="http://schemas.openxmlformats.org/spreadsheetml/2006/main">
  <c r="I1604" i="3" l="1"/>
  <c r="H1604" i="3"/>
  <c r="I1603" i="3"/>
  <c r="H1603" i="3"/>
  <c r="I1602" i="3"/>
  <c r="H1602" i="3"/>
  <c r="I1601" i="3"/>
  <c r="H1601" i="3"/>
  <c r="I1600" i="3"/>
  <c r="H1600" i="3"/>
  <c r="I1599" i="3"/>
  <c r="H1599" i="3"/>
  <c r="I1598" i="3"/>
  <c r="H1598" i="3"/>
  <c r="I1597" i="3"/>
  <c r="H1597" i="3"/>
  <c r="I1596" i="3"/>
  <c r="H1596" i="3"/>
  <c r="I1595" i="3"/>
  <c r="H1595" i="3"/>
  <c r="I1594" i="3"/>
  <c r="H1594" i="3"/>
  <c r="I1593" i="3"/>
  <c r="H1593" i="3"/>
  <c r="I1592" i="3"/>
  <c r="H1592" i="3"/>
  <c r="I1591" i="3"/>
  <c r="H1591" i="3"/>
  <c r="I1590" i="3"/>
  <c r="H1590" i="3"/>
  <c r="I1589" i="3"/>
  <c r="H1589" i="3"/>
  <c r="I1588" i="3"/>
  <c r="H1588" i="3"/>
  <c r="I1587" i="3"/>
  <c r="H1587" i="3"/>
  <c r="I1586" i="3"/>
  <c r="H1586" i="3"/>
  <c r="I1585" i="3"/>
  <c r="H1585" i="3"/>
  <c r="I1584" i="3"/>
  <c r="H1584" i="3"/>
  <c r="I1583" i="3"/>
  <c r="H1583" i="3"/>
  <c r="I1582" i="3"/>
  <c r="H1582" i="3"/>
  <c r="I1581" i="3"/>
  <c r="H1581" i="3"/>
  <c r="I1580" i="3"/>
  <c r="H1580" i="3"/>
  <c r="I1579" i="3"/>
  <c r="H1579" i="3"/>
  <c r="I1578" i="3"/>
  <c r="H1578" i="3"/>
  <c r="I1577" i="3"/>
  <c r="H1577" i="3"/>
  <c r="I1576" i="3"/>
  <c r="H1576" i="3"/>
  <c r="I1575" i="3"/>
  <c r="H1575" i="3"/>
  <c r="I1574" i="3"/>
  <c r="H1574" i="3"/>
  <c r="I1573" i="3"/>
  <c r="H1573" i="3"/>
  <c r="I1572" i="3"/>
  <c r="H1572" i="3"/>
  <c r="I1571" i="3"/>
  <c r="H1571" i="3"/>
  <c r="I1570" i="3"/>
  <c r="H1570" i="3"/>
  <c r="I1569" i="3"/>
  <c r="H1569" i="3"/>
  <c r="I1568" i="3"/>
  <c r="H1568" i="3"/>
  <c r="I1567" i="3"/>
  <c r="H1567" i="3"/>
  <c r="I1566" i="3"/>
  <c r="H1566" i="3"/>
  <c r="I1565" i="3"/>
  <c r="H1565" i="3"/>
  <c r="I1564" i="3"/>
  <c r="H1564" i="3"/>
  <c r="I1563" i="3"/>
  <c r="H1563" i="3"/>
  <c r="I1562" i="3"/>
  <c r="H1562" i="3"/>
  <c r="I1561" i="3"/>
  <c r="H1561" i="3"/>
  <c r="I1560" i="3"/>
  <c r="H1560" i="3"/>
  <c r="I1559" i="3"/>
  <c r="H1559" i="3"/>
  <c r="I1558" i="3"/>
  <c r="H1558" i="3"/>
  <c r="I1557" i="3"/>
  <c r="H1557" i="3"/>
  <c r="I1556" i="3"/>
  <c r="H1556" i="3"/>
  <c r="I1555" i="3"/>
  <c r="H1555" i="3"/>
  <c r="I1554" i="3"/>
  <c r="H1554" i="3"/>
  <c r="I1553" i="3"/>
  <c r="H1553" i="3"/>
  <c r="I1552" i="3"/>
  <c r="H1552" i="3"/>
  <c r="I1551" i="3"/>
  <c r="H1551" i="3"/>
  <c r="I1550" i="3"/>
  <c r="H1550" i="3"/>
  <c r="I1549" i="3"/>
  <c r="H1549" i="3"/>
  <c r="I1548" i="3"/>
  <c r="H1548" i="3"/>
  <c r="I1547" i="3"/>
  <c r="H1547" i="3"/>
  <c r="I1546" i="3"/>
  <c r="H1546" i="3"/>
  <c r="I1545" i="3"/>
  <c r="H1545" i="3"/>
  <c r="I1544" i="3"/>
  <c r="H1544" i="3"/>
  <c r="I1543" i="3"/>
  <c r="H1543" i="3"/>
  <c r="I1542" i="3"/>
  <c r="H1542" i="3"/>
  <c r="I1541" i="3"/>
  <c r="H1541" i="3"/>
  <c r="I1540" i="3"/>
  <c r="H1540" i="3"/>
  <c r="I1539" i="3"/>
  <c r="H1539" i="3"/>
  <c r="I1538" i="3"/>
  <c r="H1538" i="3"/>
  <c r="I1537" i="3"/>
  <c r="H1537" i="3"/>
  <c r="I1536" i="3"/>
  <c r="H1536" i="3"/>
  <c r="I1535" i="3"/>
  <c r="H1535" i="3"/>
  <c r="I1534" i="3"/>
  <c r="H1534" i="3"/>
  <c r="I1533" i="3"/>
  <c r="H1533" i="3"/>
  <c r="I1532" i="3"/>
  <c r="H1532" i="3"/>
  <c r="I1531" i="3"/>
  <c r="H1531" i="3"/>
  <c r="I1530" i="3"/>
  <c r="H1530" i="3"/>
  <c r="I1529" i="3"/>
  <c r="H1529" i="3"/>
  <c r="I1528" i="3"/>
  <c r="H1528" i="3"/>
  <c r="I1527" i="3"/>
  <c r="H1527" i="3"/>
  <c r="I1526" i="3"/>
  <c r="H1526" i="3"/>
  <c r="I1525" i="3"/>
  <c r="H1525" i="3"/>
  <c r="I1524" i="3"/>
  <c r="H1524" i="3"/>
  <c r="I1523" i="3"/>
  <c r="H1523" i="3"/>
  <c r="I1522" i="3"/>
  <c r="H1522" i="3"/>
  <c r="I1521" i="3"/>
  <c r="H1521" i="3"/>
  <c r="I1520" i="3"/>
  <c r="H1520" i="3"/>
  <c r="I1519" i="3"/>
  <c r="H1519" i="3"/>
  <c r="I1518" i="3"/>
  <c r="H1518" i="3"/>
  <c r="I1517" i="3"/>
  <c r="I1516" i="3"/>
  <c r="I1515" i="3"/>
  <c r="H1515" i="3"/>
  <c r="I1514" i="3"/>
  <c r="H1514" i="3"/>
  <c r="I1513" i="3"/>
  <c r="H1513" i="3"/>
  <c r="I1512" i="3"/>
  <c r="H1512" i="3"/>
  <c r="I1511" i="3"/>
  <c r="H1511" i="3"/>
  <c r="I1510" i="3"/>
  <c r="H1510" i="3"/>
  <c r="I1509" i="3"/>
  <c r="H1509" i="3"/>
  <c r="I1508" i="3"/>
  <c r="H1508" i="3"/>
  <c r="I1507" i="3"/>
  <c r="H1507" i="3"/>
  <c r="I1506" i="3"/>
  <c r="H1506" i="3"/>
  <c r="I1505" i="3"/>
  <c r="H1505" i="3"/>
  <c r="I1504" i="3"/>
  <c r="H1504" i="3"/>
  <c r="H1503" i="3"/>
  <c r="I1502" i="3"/>
  <c r="H1502" i="3"/>
  <c r="I1501" i="3"/>
  <c r="H1501" i="3"/>
  <c r="I1500" i="3"/>
  <c r="H1500" i="3"/>
  <c r="I1499" i="3"/>
  <c r="H1499" i="3"/>
  <c r="I1498" i="3"/>
  <c r="H1498" i="3"/>
  <c r="I1497" i="3"/>
  <c r="H1497" i="3"/>
  <c r="I1496" i="3"/>
  <c r="H1496" i="3"/>
  <c r="I1495" i="3"/>
  <c r="H1495" i="3"/>
  <c r="I1494" i="3"/>
  <c r="H1494" i="3"/>
  <c r="I1493" i="3"/>
  <c r="H1493" i="3"/>
  <c r="I1492" i="3"/>
  <c r="H1492" i="3"/>
  <c r="I1491" i="3"/>
  <c r="H1491" i="3"/>
  <c r="I1489" i="3"/>
  <c r="H1489" i="3"/>
  <c r="I1488" i="3"/>
  <c r="H1488" i="3"/>
  <c r="I1487" i="3"/>
  <c r="H1487" i="3"/>
  <c r="I1486" i="3"/>
  <c r="H1486" i="3"/>
  <c r="I1485" i="3"/>
  <c r="H1485" i="3"/>
  <c r="I1484" i="3"/>
  <c r="H1484" i="3"/>
  <c r="I1483" i="3"/>
  <c r="H1483" i="3"/>
  <c r="I1482" i="3"/>
  <c r="H1482" i="3"/>
  <c r="I1481" i="3"/>
  <c r="H1481" i="3"/>
  <c r="I1175" i="3"/>
  <c r="H1175" i="3"/>
  <c r="I1174" i="3"/>
  <c r="H1174" i="3"/>
  <c r="I1173" i="3"/>
  <c r="H1173" i="3"/>
  <c r="I1172" i="3"/>
  <c r="H1172" i="3"/>
  <c r="I1171" i="3"/>
  <c r="H1171" i="3"/>
  <c r="I1170" i="3"/>
  <c r="H1170" i="3"/>
  <c r="I1169" i="3"/>
  <c r="H1169" i="3"/>
  <c r="I1168" i="3"/>
  <c r="H1168" i="3"/>
  <c r="I1167" i="3"/>
  <c r="H1167" i="3"/>
  <c r="I1166" i="3"/>
  <c r="H1166" i="3"/>
  <c r="I1165" i="3"/>
  <c r="H1165" i="3"/>
  <c r="I1164" i="3"/>
  <c r="H1164" i="3"/>
  <c r="I1163" i="3"/>
  <c r="H1163" i="3"/>
  <c r="I1162" i="3"/>
  <c r="H1162" i="3"/>
  <c r="I1161" i="3"/>
  <c r="H1161" i="3"/>
  <c r="I1160" i="3"/>
  <c r="H1160" i="3"/>
  <c r="I1159" i="3"/>
  <c r="H1159" i="3"/>
  <c r="I1158" i="3"/>
  <c r="H1158" i="3"/>
  <c r="I1157" i="3"/>
  <c r="H1157" i="3"/>
  <c r="I1156" i="3"/>
  <c r="H1156" i="3"/>
  <c r="I1155" i="3"/>
  <c r="H1155" i="3"/>
  <c r="I1154" i="3"/>
  <c r="H1154" i="3"/>
  <c r="I1153" i="3"/>
  <c r="H1153" i="3"/>
  <c r="I1152" i="3"/>
  <c r="H1152" i="3"/>
  <c r="I1151" i="3"/>
  <c r="H1151" i="3"/>
  <c r="I1150" i="3"/>
  <c r="H1150" i="3"/>
  <c r="I1149" i="3"/>
  <c r="H1149" i="3"/>
  <c r="I1148" i="3"/>
  <c r="H1148" i="3"/>
  <c r="I1147" i="3"/>
  <c r="H1147" i="3"/>
  <c r="I1146" i="3"/>
  <c r="H1146" i="3"/>
  <c r="H1145" i="3"/>
  <c r="H1144" i="3"/>
  <c r="I1143" i="3"/>
  <c r="H1143" i="3"/>
  <c r="I1142" i="3"/>
  <c r="H1142" i="3"/>
  <c r="I1141" i="3"/>
  <c r="H1141" i="3"/>
  <c r="I1140" i="3"/>
  <c r="H1140" i="3"/>
  <c r="I1139" i="3"/>
  <c r="H1139" i="3"/>
  <c r="I1138" i="3"/>
  <c r="H1138" i="3"/>
  <c r="I1137" i="3"/>
  <c r="H1137" i="3"/>
  <c r="I1136" i="3"/>
  <c r="H1136" i="3"/>
  <c r="I1135" i="3"/>
  <c r="H1135" i="3"/>
  <c r="I1134" i="3"/>
  <c r="H1134" i="3"/>
  <c r="I1133" i="3"/>
  <c r="H1133" i="3"/>
  <c r="I1132" i="3"/>
  <c r="H1132" i="3"/>
  <c r="I1131" i="3"/>
  <c r="H1131" i="3"/>
  <c r="I1130" i="3"/>
  <c r="H1130" i="3"/>
  <c r="I1129" i="3"/>
  <c r="H1129" i="3"/>
  <c r="I1128" i="3"/>
  <c r="H1128" i="3"/>
  <c r="I1127" i="3"/>
  <c r="H1127" i="3"/>
  <c r="I1126" i="3"/>
  <c r="H1126" i="3"/>
  <c r="I1125" i="3"/>
  <c r="H1125" i="3"/>
  <c r="I1124" i="3"/>
  <c r="H1124" i="3"/>
  <c r="I1123" i="3"/>
  <c r="H1123" i="3"/>
  <c r="I1122" i="3"/>
  <c r="H1122" i="3"/>
  <c r="I1121" i="3"/>
  <c r="H1121" i="3"/>
  <c r="I1120" i="3"/>
  <c r="H1120" i="3"/>
  <c r="I1119" i="3"/>
  <c r="H1119" i="3"/>
  <c r="I1118" i="3"/>
  <c r="H1118" i="3"/>
  <c r="I1117" i="3"/>
  <c r="H1117" i="3"/>
  <c r="I1116" i="3"/>
  <c r="H1116" i="3"/>
  <c r="I1115" i="3"/>
  <c r="H1115" i="3"/>
  <c r="I1114" i="3"/>
  <c r="I1113" i="3"/>
  <c r="I1110" i="3"/>
  <c r="H1110" i="3"/>
  <c r="I1108" i="3"/>
  <c r="I1107" i="3"/>
  <c r="I1106" i="3"/>
  <c r="H1106" i="3"/>
  <c r="I1083" i="3"/>
  <c r="I1080" i="3"/>
  <c r="I1079" i="3"/>
  <c r="H1079" i="3"/>
  <c r="I1071" i="3"/>
  <c r="H1071" i="3"/>
  <c r="I1070" i="3"/>
  <c r="H1070" i="3"/>
  <c r="I1069" i="3"/>
  <c r="H1069" i="3"/>
  <c r="I1068" i="3"/>
  <c r="H1068" i="3"/>
  <c r="I1067" i="3"/>
  <c r="H1067" i="3"/>
  <c r="I1066" i="3"/>
  <c r="H1066" i="3"/>
  <c r="I1065" i="3"/>
  <c r="H1065" i="3"/>
  <c r="I1064" i="3"/>
  <c r="H1064" i="3"/>
  <c r="I1063" i="3"/>
  <c r="H1063" i="3"/>
  <c r="I1062" i="3"/>
  <c r="H1062" i="3"/>
  <c r="H1061" i="3"/>
  <c r="H1060" i="3"/>
  <c r="I1059" i="3"/>
  <c r="H1059" i="3"/>
  <c r="I1058" i="3"/>
  <c r="H1058" i="3"/>
  <c r="I1057" i="3"/>
  <c r="H1057" i="3"/>
  <c r="I1056" i="3"/>
  <c r="H1056" i="3"/>
  <c r="I1055" i="3"/>
  <c r="H1055" i="3"/>
  <c r="I1054" i="3"/>
  <c r="H1054" i="3"/>
  <c r="I1053" i="3"/>
  <c r="H1053" i="3"/>
  <c r="I1052" i="3"/>
  <c r="H1052" i="3"/>
  <c r="I1051" i="3"/>
  <c r="H1051" i="3"/>
  <c r="I1050" i="3"/>
  <c r="H1050" i="3"/>
  <c r="I1049" i="3"/>
  <c r="H1049" i="3"/>
  <c r="I1048" i="3"/>
  <c r="H1048" i="3"/>
  <c r="I1047" i="3"/>
  <c r="H1047" i="3"/>
  <c r="I1046" i="3"/>
  <c r="H1046" i="3"/>
  <c r="I1045" i="3"/>
  <c r="H1045" i="3"/>
  <c r="I1044" i="3"/>
  <c r="H1044" i="3"/>
  <c r="I1043" i="3"/>
  <c r="H1043" i="3"/>
  <c r="I1042" i="3"/>
  <c r="H1042" i="3"/>
  <c r="I1041" i="3"/>
  <c r="H1041" i="3"/>
  <c r="I1040" i="3"/>
  <c r="H1040" i="3"/>
  <c r="I1039" i="3"/>
  <c r="H1039" i="3"/>
  <c r="I1038" i="3"/>
  <c r="H1038" i="3"/>
  <c r="I1037" i="3"/>
  <c r="H1037" i="3"/>
  <c r="I1036" i="3"/>
  <c r="H1036" i="3"/>
  <c r="I1035" i="3"/>
  <c r="H1035" i="3"/>
  <c r="I1034" i="3"/>
  <c r="H1034" i="3"/>
  <c r="I1033" i="3"/>
  <c r="H1033" i="3"/>
  <c r="I1032" i="3"/>
  <c r="H1032" i="3"/>
  <c r="H1031" i="3"/>
  <c r="H1030" i="3"/>
  <c r="I1029" i="3"/>
  <c r="H1029" i="3"/>
  <c r="I1028" i="3"/>
  <c r="H1028" i="3"/>
  <c r="I1027" i="3"/>
  <c r="H1027" i="3"/>
  <c r="I1021" i="3"/>
  <c r="H1021" i="3"/>
  <c r="I1019" i="3"/>
  <c r="I1011" i="3"/>
  <c r="H1011" i="3"/>
  <c r="I1010" i="3"/>
  <c r="H1010" i="3"/>
  <c r="H1009" i="3"/>
  <c r="I1008" i="3"/>
  <c r="H1008" i="3"/>
  <c r="I1007" i="3"/>
  <c r="H1007" i="3"/>
  <c r="I997" i="3"/>
  <c r="H997" i="3"/>
  <c r="I996" i="3"/>
  <c r="H996" i="3"/>
  <c r="I995" i="3"/>
  <c r="H995" i="3"/>
  <c r="I994" i="3"/>
  <c r="H994" i="3"/>
  <c r="I993" i="3"/>
  <c r="H993" i="3"/>
  <c r="I992" i="3"/>
  <c r="H992" i="3"/>
  <c r="I991" i="3"/>
  <c r="H991" i="3"/>
  <c r="I990" i="3"/>
  <c r="H990" i="3"/>
  <c r="I989" i="3"/>
  <c r="H989" i="3"/>
  <c r="I988" i="3"/>
  <c r="H988" i="3"/>
  <c r="I987" i="3"/>
  <c r="H987" i="3"/>
  <c r="I986" i="3"/>
  <c r="H986" i="3"/>
  <c r="I985" i="3"/>
  <c r="H985" i="3"/>
  <c r="I984" i="3"/>
  <c r="H984" i="3"/>
  <c r="I983" i="3"/>
  <c r="H983" i="3"/>
  <c r="I982" i="3"/>
  <c r="H982" i="3"/>
  <c r="I981" i="3"/>
  <c r="H981" i="3"/>
  <c r="I980" i="3"/>
  <c r="H980" i="3"/>
  <c r="I979" i="3"/>
  <c r="H979" i="3"/>
  <c r="I978" i="3"/>
  <c r="H978" i="3"/>
  <c r="I977" i="3"/>
  <c r="H977" i="3"/>
  <c r="I976" i="3"/>
  <c r="H976" i="3"/>
  <c r="I975" i="3"/>
  <c r="H975" i="3"/>
  <c r="I974" i="3"/>
  <c r="H974" i="3"/>
  <c r="I973" i="3"/>
  <c r="H973" i="3"/>
  <c r="I972" i="3"/>
  <c r="H972" i="3"/>
  <c r="I971" i="3"/>
  <c r="H971" i="3"/>
  <c r="I970" i="3"/>
  <c r="H970" i="3"/>
  <c r="I969" i="3"/>
  <c r="H969" i="3"/>
  <c r="I968" i="3"/>
  <c r="H968" i="3"/>
  <c r="I967" i="3"/>
  <c r="H967" i="3"/>
  <c r="I966" i="3"/>
  <c r="H966" i="3"/>
  <c r="I965" i="3"/>
  <c r="H965" i="3"/>
  <c r="I964" i="3"/>
  <c r="H964" i="3"/>
  <c r="I963" i="3"/>
  <c r="H963" i="3"/>
  <c r="I962" i="3"/>
  <c r="H962" i="3"/>
  <c r="I961" i="3"/>
  <c r="H961" i="3"/>
  <c r="I960" i="3"/>
  <c r="H960" i="3"/>
  <c r="I959" i="3"/>
  <c r="H959" i="3"/>
  <c r="I958" i="3"/>
  <c r="H958" i="3"/>
  <c r="I957" i="3"/>
  <c r="H957" i="3"/>
  <c r="I956" i="3"/>
  <c r="H956" i="3"/>
  <c r="I955" i="3"/>
  <c r="H955" i="3"/>
  <c r="I954" i="3"/>
  <c r="H954" i="3"/>
  <c r="I953" i="3"/>
  <c r="H953" i="3"/>
  <c r="I952" i="3"/>
  <c r="H952" i="3"/>
  <c r="I951" i="3"/>
  <c r="H951" i="3"/>
  <c r="I950" i="3"/>
  <c r="H950" i="3"/>
  <c r="I949" i="3"/>
  <c r="H949" i="3"/>
  <c r="I948" i="3"/>
  <c r="H948" i="3"/>
  <c r="I947" i="3"/>
  <c r="H947" i="3"/>
  <c r="I946" i="3"/>
  <c r="H946" i="3"/>
  <c r="I945" i="3"/>
  <c r="H945" i="3"/>
  <c r="I944" i="3"/>
  <c r="H944" i="3"/>
  <c r="I943" i="3"/>
  <c r="H943" i="3"/>
  <c r="I942" i="3"/>
  <c r="H942" i="3"/>
  <c r="I941" i="3"/>
  <c r="H941" i="3"/>
  <c r="I940" i="3"/>
  <c r="H940" i="3"/>
  <c r="I939" i="3"/>
  <c r="H939" i="3"/>
  <c r="I938" i="3"/>
  <c r="H938" i="3"/>
  <c r="I937" i="3"/>
  <c r="H937" i="3"/>
  <c r="I936" i="3"/>
  <c r="H936" i="3"/>
  <c r="I935" i="3"/>
  <c r="H935" i="3"/>
  <c r="I934" i="3"/>
  <c r="H934" i="3"/>
  <c r="I933" i="3"/>
  <c r="H933" i="3"/>
  <c r="I932" i="3"/>
  <c r="H932" i="3"/>
  <c r="I931" i="3"/>
  <c r="H931" i="3"/>
  <c r="I930" i="3"/>
  <c r="H930" i="3"/>
  <c r="I929" i="3"/>
  <c r="H929" i="3"/>
  <c r="I928" i="3"/>
  <c r="H928" i="3"/>
  <c r="I927" i="3"/>
  <c r="H927" i="3"/>
  <c r="I926" i="3"/>
  <c r="H926" i="3"/>
  <c r="I925" i="3"/>
  <c r="H925" i="3"/>
  <c r="I924" i="3"/>
  <c r="H924" i="3"/>
  <c r="I923" i="3"/>
  <c r="H923" i="3"/>
  <c r="I922" i="3"/>
  <c r="H922" i="3"/>
  <c r="I921" i="3"/>
  <c r="H921" i="3"/>
  <c r="I920" i="3"/>
  <c r="H920" i="3"/>
  <c r="I919" i="3"/>
  <c r="H919" i="3"/>
  <c r="I918" i="3"/>
  <c r="H918" i="3"/>
  <c r="I917" i="3"/>
  <c r="H917" i="3"/>
  <c r="I916" i="3"/>
  <c r="H916" i="3"/>
  <c r="I915" i="3"/>
  <c r="H915" i="3"/>
  <c r="I914" i="3"/>
  <c r="H914" i="3"/>
  <c r="I913" i="3"/>
  <c r="H913" i="3"/>
  <c r="I912" i="3"/>
  <c r="H912" i="3"/>
  <c r="I911" i="3"/>
  <c r="H911" i="3"/>
  <c r="I910" i="3"/>
  <c r="H910" i="3"/>
  <c r="I909" i="3"/>
  <c r="H909" i="3"/>
  <c r="I908" i="3"/>
  <c r="H908" i="3"/>
  <c r="I907" i="3"/>
  <c r="H907" i="3"/>
  <c r="I906" i="3"/>
  <c r="H906" i="3"/>
  <c r="I905" i="3"/>
  <c r="H905" i="3"/>
  <c r="I904" i="3"/>
  <c r="H904" i="3"/>
  <c r="I903" i="3"/>
  <c r="H903" i="3"/>
  <c r="I902" i="3"/>
  <c r="H902" i="3"/>
  <c r="I901" i="3"/>
  <c r="H901" i="3"/>
  <c r="I900" i="3"/>
  <c r="H900" i="3"/>
  <c r="I899" i="3"/>
  <c r="H899" i="3"/>
  <c r="I898" i="3"/>
  <c r="H898" i="3"/>
  <c r="I897" i="3"/>
  <c r="H897" i="3"/>
  <c r="I896" i="3"/>
  <c r="H896" i="3"/>
  <c r="I895" i="3"/>
  <c r="H895" i="3"/>
  <c r="I894" i="3"/>
  <c r="H894" i="3"/>
  <c r="I893" i="3"/>
  <c r="H893" i="3"/>
  <c r="I892" i="3"/>
  <c r="H892" i="3"/>
  <c r="I891" i="3"/>
  <c r="H891" i="3"/>
  <c r="I890" i="3"/>
  <c r="H890" i="3"/>
  <c r="I889" i="3"/>
  <c r="H889" i="3"/>
  <c r="I888" i="3"/>
  <c r="H888" i="3"/>
  <c r="I887" i="3"/>
  <c r="H887" i="3"/>
  <c r="I886" i="3"/>
  <c r="H886" i="3"/>
  <c r="I885" i="3"/>
  <c r="H885" i="3"/>
  <c r="I884" i="3"/>
  <c r="H884" i="3"/>
  <c r="I883" i="3"/>
  <c r="H883" i="3"/>
  <c r="I882" i="3"/>
  <c r="H882" i="3"/>
  <c r="I881" i="3"/>
  <c r="H881" i="3"/>
  <c r="I880" i="3"/>
  <c r="H880" i="3"/>
  <c r="I879" i="3"/>
  <c r="H879" i="3"/>
  <c r="I878" i="3"/>
  <c r="H878" i="3"/>
  <c r="I877" i="3"/>
  <c r="H877" i="3"/>
  <c r="I876" i="3"/>
  <c r="H876" i="3"/>
  <c r="I875" i="3"/>
  <c r="H875" i="3"/>
  <c r="I874" i="3"/>
  <c r="H874" i="3"/>
  <c r="I873" i="3"/>
  <c r="H873" i="3"/>
  <c r="I872" i="3"/>
  <c r="H872" i="3"/>
  <c r="I871" i="3"/>
  <c r="H871" i="3"/>
  <c r="I870" i="3"/>
  <c r="H870" i="3"/>
  <c r="I869" i="3"/>
  <c r="H869" i="3"/>
  <c r="I868" i="3"/>
  <c r="H868" i="3"/>
  <c r="I867" i="3"/>
  <c r="H867" i="3"/>
  <c r="I866" i="3"/>
  <c r="H866" i="3"/>
  <c r="I865" i="3"/>
  <c r="H865" i="3"/>
  <c r="I864" i="3"/>
  <c r="H864" i="3"/>
  <c r="I863" i="3"/>
  <c r="H863" i="3"/>
  <c r="I862" i="3"/>
  <c r="H862" i="3"/>
  <c r="I861" i="3"/>
  <c r="H861" i="3"/>
  <c r="I860" i="3"/>
  <c r="H860" i="3"/>
  <c r="I859" i="3"/>
  <c r="H859" i="3"/>
  <c r="I858" i="3"/>
  <c r="H858" i="3"/>
  <c r="I857" i="3"/>
  <c r="H857" i="3"/>
  <c r="I856" i="3"/>
  <c r="H856" i="3"/>
  <c r="I855" i="3"/>
  <c r="H855" i="3"/>
  <c r="I854" i="3"/>
  <c r="H854" i="3"/>
  <c r="I853" i="3"/>
  <c r="H853" i="3"/>
  <c r="I852" i="3"/>
  <c r="H852" i="3"/>
  <c r="I851" i="3"/>
  <c r="H851" i="3"/>
  <c r="I850" i="3"/>
  <c r="H850" i="3"/>
  <c r="I848" i="3"/>
  <c r="H848" i="3"/>
  <c r="H847" i="3"/>
  <c r="H846" i="3"/>
  <c r="I838" i="3"/>
  <c r="H838" i="3"/>
  <c r="I837" i="3"/>
  <c r="H837" i="3"/>
  <c r="I836" i="3"/>
  <c r="H836" i="3"/>
  <c r="I835" i="3"/>
  <c r="H835" i="3"/>
  <c r="I827" i="3"/>
  <c r="H827" i="3"/>
  <c r="I826" i="3"/>
  <c r="H826" i="3"/>
  <c r="I825" i="3"/>
  <c r="H825" i="3"/>
  <c r="I824" i="3"/>
  <c r="H824" i="3"/>
  <c r="I823" i="3"/>
  <c r="H823" i="3"/>
  <c r="I822" i="3"/>
  <c r="H822" i="3"/>
  <c r="I808" i="3"/>
  <c r="H808" i="3"/>
  <c r="I807" i="3"/>
  <c r="H807" i="3"/>
  <c r="I800" i="3"/>
  <c r="H800" i="3"/>
  <c r="I799" i="3"/>
  <c r="H799" i="3"/>
  <c r="I798" i="3"/>
  <c r="H798" i="3"/>
  <c r="H797" i="3"/>
  <c r="I796" i="3"/>
  <c r="H796" i="3"/>
  <c r="I795" i="3"/>
  <c r="H795" i="3"/>
  <c r="I794" i="3"/>
  <c r="H794" i="3"/>
  <c r="I785" i="3"/>
  <c r="H785" i="3"/>
  <c r="I784" i="3"/>
  <c r="H784" i="3"/>
  <c r="I783" i="3"/>
  <c r="H783" i="3"/>
  <c r="I782" i="3"/>
  <c r="H782" i="3"/>
  <c r="I781" i="3"/>
  <c r="H781" i="3"/>
  <c r="I780" i="3"/>
  <c r="H780" i="3"/>
  <c r="I779" i="3"/>
  <c r="H779" i="3"/>
  <c r="I778" i="3"/>
  <c r="H778" i="3"/>
  <c r="I777" i="3"/>
  <c r="H777" i="3"/>
  <c r="I776" i="3"/>
  <c r="H776" i="3"/>
  <c r="I775" i="3"/>
  <c r="H775" i="3"/>
  <c r="I774" i="3"/>
  <c r="H774" i="3"/>
  <c r="I773" i="3"/>
  <c r="H773" i="3"/>
  <c r="I772" i="3"/>
  <c r="H772" i="3"/>
  <c r="I771" i="3"/>
  <c r="H771" i="3"/>
  <c r="I770" i="3"/>
  <c r="H770" i="3"/>
  <c r="I769" i="3"/>
  <c r="H769" i="3"/>
  <c r="I768" i="3"/>
  <c r="H768" i="3"/>
  <c r="I767" i="3"/>
  <c r="H767" i="3"/>
  <c r="I766" i="3"/>
  <c r="H766" i="3"/>
  <c r="I765" i="3"/>
  <c r="H765" i="3"/>
  <c r="I764" i="3"/>
  <c r="H764" i="3"/>
  <c r="I730" i="3"/>
  <c r="H730" i="3"/>
  <c r="I729" i="3"/>
  <c r="H729" i="3"/>
  <c r="I728" i="3"/>
  <c r="H728" i="3"/>
  <c r="I727" i="3"/>
  <c r="H727" i="3"/>
  <c r="I726" i="3"/>
  <c r="H726" i="3"/>
  <c r="I725" i="3"/>
  <c r="H725" i="3"/>
  <c r="I724" i="3"/>
  <c r="H724" i="3"/>
  <c r="I723" i="3"/>
  <c r="H723" i="3"/>
  <c r="I722" i="3"/>
  <c r="H722" i="3"/>
  <c r="I721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7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4" i="3"/>
  <c r="H574" i="3"/>
  <c r="I573" i="3"/>
  <c r="H573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8" i="3"/>
  <c r="H528" i="3"/>
  <c r="I527" i="3"/>
  <c r="H527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I384" i="3"/>
  <c r="H384" i="3"/>
  <c r="I383" i="3"/>
  <c r="H383" i="3"/>
  <c r="I382" i="3"/>
  <c r="H382" i="3"/>
  <c r="I381" i="3"/>
  <c r="H381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I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<sst xmlns="http://schemas.openxmlformats.org/spreadsheetml/2006/main" count="9631" uniqueCount="2832">
  <si>
    <t>Ejercicio</t>
  </si>
  <si>
    <t>Periodo</t>
  </si>
  <si>
    <t>Eje del PMD</t>
  </si>
  <si>
    <t>Nombre del Programa derivado del Plan Municipal de Desarrollo</t>
  </si>
  <si>
    <t>Unidad de medida</t>
  </si>
  <si>
    <t>Línea base</t>
  </si>
  <si>
    <t>Metas programadas</t>
  </si>
  <si>
    <t>Avance de metas</t>
  </si>
  <si>
    <t>Área responsable de la información</t>
  </si>
  <si>
    <t>4to Trimestre</t>
  </si>
  <si>
    <t>1 Pachuca Honesta, Cercana y Moderna</t>
  </si>
  <si>
    <t>Presidir, Supervisar y Conducir la Administración Pública Municipal</t>
  </si>
  <si>
    <t>Tasa de variación de canales de comunicación de alto impacto y valor público generadas</t>
  </si>
  <si>
    <t>Canales Generados</t>
  </si>
  <si>
    <t>Unidades de Apoyo de la o el Presidente Municipal</t>
  </si>
  <si>
    <t>Índice de implementación de canales de comunicación de alto impacto y valor público generadas</t>
  </si>
  <si>
    <t>Canales de Comunicación</t>
  </si>
  <si>
    <t>Porcentaje de audiencias de coordinación para la mejora en los canales de comunicación</t>
  </si>
  <si>
    <t>Audiencias de coordinación</t>
  </si>
  <si>
    <t>Porcentaje de reuniones de coordinación para la mejora en los canales de comunicación</t>
  </si>
  <si>
    <t>Reuniones de coordinación</t>
  </si>
  <si>
    <t>Actividad</t>
  </si>
  <si>
    <t>Número de audiencias externas coordinadas</t>
  </si>
  <si>
    <t>Audiencias externas.</t>
  </si>
  <si>
    <t>1  Pachuca Honesta, Cercana y Moderna</t>
  </si>
  <si>
    <t>Número de audiencias internas coordinadas</t>
  </si>
  <si>
    <t>Audiencias internas coordinadas.</t>
  </si>
  <si>
    <t>3 Pachuca Honesta, Cercana y Moderna</t>
  </si>
  <si>
    <t>Número de reuniones de gabinete coordinadas</t>
  </si>
  <si>
    <t>Reuniones de gabinete coordinadas.</t>
  </si>
  <si>
    <t>Número de reuniones con la administración pública Federal y Estatal coordinadas</t>
  </si>
  <si>
    <t>Reuniones con  la administración pública Federal y Estatal.</t>
  </si>
  <si>
    <t>Coordinación y/o Supervisión de las Giras y Logística en las Actividades en las que Participa la o el C. Presidente Municipal Constitucional</t>
  </si>
  <si>
    <t>Índice de percepción positiva respecto de los eventos realizados</t>
  </si>
  <si>
    <t>Eventos Realizados</t>
  </si>
  <si>
    <t>Dirección de Giras y Logística</t>
  </si>
  <si>
    <t>Tasa de eventos debidamente coordinados y/o supervisados</t>
  </si>
  <si>
    <t>Eventos realizados</t>
  </si>
  <si>
    <t>Porcentaje de eventos realizados</t>
  </si>
  <si>
    <t>Número de tarjetas informativas elaboradas</t>
  </si>
  <si>
    <t>Tarjetas Informativas</t>
  </si>
  <si>
    <t>Número de eventos realizados</t>
  </si>
  <si>
    <t>Número de fichas técnicas e invitaciones recepcionadas</t>
  </si>
  <si>
    <t>Fichas técnicas.</t>
  </si>
  <si>
    <t>Atención Ciudadana 070</t>
  </si>
  <si>
    <t>Índice de variación anual de peticiones atendidas</t>
  </si>
  <si>
    <t>Peticiones atendidas</t>
  </si>
  <si>
    <t>Dirección de Atención Telefónica SERVITEL</t>
  </si>
  <si>
    <t>Tasa de variación anual de peticiones ingresadas al sistema de gestión</t>
  </si>
  <si>
    <t>Peticiones ingresadas</t>
  </si>
  <si>
    <t>Porcentaje de solicitudes canalizadas</t>
  </si>
  <si>
    <t>Solicitudes Canalizadas</t>
  </si>
  <si>
    <t>Porcentaje de publicaciones</t>
  </si>
  <si>
    <t>Publicaciones en Redes Sociales</t>
  </si>
  <si>
    <t>Número de peticiones atendidas</t>
  </si>
  <si>
    <t>Peticiones Atendidas</t>
  </si>
  <si>
    <t>Número de estadísticas integradas</t>
  </si>
  <si>
    <t>Estadísticas Integradas</t>
  </si>
  <si>
    <t>Número de capacitaciones</t>
  </si>
  <si>
    <t>Capacitaciones</t>
  </si>
  <si>
    <t>Número de publicaciones realizadas</t>
  </si>
  <si>
    <t>Publicaciones realizadas</t>
  </si>
  <si>
    <t>Número de publicaciones realizadas y capacitaciones</t>
  </si>
  <si>
    <t>Publicaciones y Capacitaciones realizadas</t>
  </si>
  <si>
    <t>Atención, Orientación y Canalización Ciudadana</t>
  </si>
  <si>
    <t>Índice de ciudadanos satisfechos con la gestión realizada.</t>
  </si>
  <si>
    <t>Ciudadanos satisfechos</t>
  </si>
  <si>
    <t>Secretaría Particular</t>
  </si>
  <si>
    <t>Tasa de las peticiones canalizadas satisfactoriamente.</t>
  </si>
  <si>
    <t>Peticiones canalizadas</t>
  </si>
  <si>
    <t>Porcentaje de las peticiones ingresadas</t>
  </si>
  <si>
    <t>Número de peticiones registradas.</t>
  </si>
  <si>
    <t>Peticiones Registradas</t>
  </si>
  <si>
    <t>Número de entrega de peticiones canalizadas.</t>
  </si>
  <si>
    <t>Fortalecimiento de las relaciones entre el Presidente Municipal con los ciudadanos y los diferentes sectores de Públicos</t>
  </si>
  <si>
    <t>Índice de avance en
la consolidación de los dos
componentes de la
dirección de Relaciones
Públicas</t>
  </si>
  <si>
    <t>Índice de avance</t>
  </si>
  <si>
    <t>Dirección de Relaciones Públicas</t>
  </si>
  <si>
    <t>Tasa de
fortalecimiento de
vínculos entre el municipio y
la sociedad en general</t>
  </si>
  <si>
    <t>Número de vínculos</t>
  </si>
  <si>
    <t>Porcentaje de eventos atendidos</t>
  </si>
  <si>
    <t>Número de Eventos</t>
  </si>
  <si>
    <t>Número de eventos convocados por Relaciones Públicas.</t>
  </si>
  <si>
    <t>Eventos Convocados</t>
  </si>
  <si>
    <t>Número de invitaciones enviadas</t>
  </si>
  <si>
    <t>Invitaciones enviadas</t>
  </si>
  <si>
    <t>Número de llamadas realizadas</t>
  </si>
  <si>
    <t>Llamadas realizadas</t>
  </si>
  <si>
    <t>Número de personas que asistieron al evento convocado</t>
  </si>
  <si>
    <t>Asistentes al evento</t>
  </si>
  <si>
    <t>Número de
personalidades atendidas</t>
  </si>
  <si>
    <t>Personas atendidas</t>
  </si>
  <si>
    <t>3 Pachuca con bienestar social, humana, igualitaria y con valores</t>
  </si>
  <si>
    <t>Prevención de la violencia en contra de Niñas, Niños y Adolescentes de Pachuca de Soto</t>
  </si>
  <si>
    <t>Índice de casos de violencia en contra de Niñas, Niños y Adolescentes</t>
  </si>
  <si>
    <t>Casos de violencia</t>
  </si>
  <si>
    <t>Secretaría Ejecutiva del Sistema Municipal de Protección Integral de Niñas, Niños y Adolescentes Pachuca</t>
  </si>
  <si>
    <t>Tasa de reportes de violencia en contra de Niñas, Niños y Adolescentes</t>
  </si>
  <si>
    <t>Reportes</t>
  </si>
  <si>
    <t>Porcentaje de casos de Niñas, Niños y Adolescentes atendidos por casos de violencia en su agravio</t>
  </si>
  <si>
    <t xml:space="preserve">Atenciones					</t>
  </si>
  <si>
    <t>Porcentaje de Niñas, Niños y Adolescentes, que dejen de ser víctimas de trabajo infantil</t>
  </si>
  <si>
    <t>Casos atendidos</t>
  </si>
  <si>
    <t>Porcentaje de campañas de difusión y talleres de los derechos de Niñas, Niños y Adolescentes de Pachuca de Soto</t>
  </si>
  <si>
    <t>Pláticas y talleres realizados</t>
  </si>
  <si>
    <t>Casos de Niñas, Niños y Adolescentes atendidos</t>
  </si>
  <si>
    <t>Número de personas alcanzadas con información para acceder a la educación de Niñas, Niños y Adolescentes</t>
  </si>
  <si>
    <t>Personas Alcanzadas con Información</t>
  </si>
  <si>
    <t>Número de ciudadanos capacitados acerca de la problemática del trabajo infantil</t>
  </si>
  <si>
    <t>Ciudadanos Capacitados</t>
  </si>
  <si>
    <t>Número de convenios realizados en pro de la Niñez y Adolescencias</t>
  </si>
  <si>
    <t>Convenios Realizados</t>
  </si>
  <si>
    <t>Número de Niñas, Niños y Adolescentes, que dejen de ser víctimas de trabajo infantil</t>
  </si>
  <si>
    <t>Niñas, Niños y Adolescentes que dejan de ser víctimas de trabajo infantil</t>
  </si>
  <si>
    <t>Número de campañas de difusión y talleres de los derechos de Niñas, Niños y Adolescentes de Pachuca de Soto</t>
  </si>
  <si>
    <t>Campañas de difusión y talleres</t>
  </si>
  <si>
    <t>Número personas alcanzadas con las campañas de difusión de los derechos de Niñas, Niños y Adolescentes de Pachuca de Soto a través de diferentes medios</t>
  </si>
  <si>
    <t>Personas Alcanzadas con las Campañas de Difusión</t>
  </si>
  <si>
    <t>Diagnóstico de la situación actual de Niñas, Niños y Adolescentes en el municipio de Pachuca de Soto</t>
  </si>
  <si>
    <t>Índice de Niñas, Niños y Adolescentes entrevistados</t>
  </si>
  <si>
    <t>Entrevistas</t>
  </si>
  <si>
    <t>Tasa de infancias y adolescencias en materia de Violencia, Embarazo y Adicciones en Niñas, Niños y Adolescentes</t>
  </si>
  <si>
    <t>Casos registrados</t>
  </si>
  <si>
    <t>Porcentaje de entrevistas a diferentes Instituciones Municipales y Estatales</t>
  </si>
  <si>
    <t>Porcentaje del avance del Sistema de Información que alimente el Sistema Estatal creado</t>
  </si>
  <si>
    <t>Datos de información obtenida</t>
  </si>
  <si>
    <t>Número de Instituciones a proporcionar la información solicitada</t>
  </si>
  <si>
    <t>Instituciones a Proporcionar la Información Solicitada</t>
  </si>
  <si>
    <t>Número de estudiantes e investigadores de la Uaeh a realizar el Trabajo de Campo</t>
  </si>
  <si>
    <t>Estudiantes e Investigadores a realizar el Trabajo de Campo</t>
  </si>
  <si>
    <t>Número de programas para la prevención de vulneración de derechos de Niñas, Niños y Adolescentes de Pachuca de Soto</t>
  </si>
  <si>
    <t>Programas para la Prevención</t>
  </si>
  <si>
    <t>Número de personas adultas alcanzadas en temas de sensibilización de temas de niñez y adolescencia</t>
  </si>
  <si>
    <t>Personas Adultas Alcanzadas</t>
  </si>
  <si>
    <t>Participación de Niñas, Niños y Adolescentes de Pachuca de Soto</t>
  </si>
  <si>
    <t>Índice de Niñas, Niños y Adolescentes participantes en las diferentes actividades</t>
  </si>
  <si>
    <t>Niñas, Niños y Adolescentes Participantes</t>
  </si>
  <si>
    <t>Secretaría Ejecutiva del Sistema Municipal de Protección Integral de Niñas, Niños y Adolescentes</t>
  </si>
  <si>
    <t>Tasa de foros de consulta infantil, encuestas</t>
  </si>
  <si>
    <t>Foros de consulta</t>
  </si>
  <si>
    <t>Porcentaje de encuestas y foros de participación de Niñas, Niños y Adolescentes del Municipio de Pachuca de Soto</t>
  </si>
  <si>
    <t>Encuestas y foros de participación</t>
  </si>
  <si>
    <t>Porcentaje de actividades con la participación de las Niñas, Niños y Adolescentes del Comité de Participación Infantil</t>
  </si>
  <si>
    <t>Actividades con el comité de Participación Infantil</t>
  </si>
  <si>
    <t>Número de Niñas, Niños y Adolescentes del Municipio de Pachuca de Soto</t>
  </si>
  <si>
    <t>Niñas, Niños y Adolescentes</t>
  </si>
  <si>
    <t>Número de Niñas, Niños y Adolescentes beneficiados del Municipio de Pachuca de Soto</t>
  </si>
  <si>
    <t>Coordinación Interna y administración de recursos</t>
  </si>
  <si>
    <t>Índice de actividades en pro del Desarrollo Económico y Turístico realizadas</t>
  </si>
  <si>
    <t>Actividades en pro del Desarrollo Económico y Turístico</t>
  </si>
  <si>
    <t>Secretaría de Desarrollo Económico</t>
  </si>
  <si>
    <t>Tasa de solicitudes atendidas</t>
  </si>
  <si>
    <t>Solicitudes atendidas</t>
  </si>
  <si>
    <t>Porcentaje de actividades de acercamiento y beneficio a la ciudadanía coordinadas</t>
  </si>
  <si>
    <t>Actividades de acercamiento</t>
  </si>
  <si>
    <t>Porcentaje de acciones para la oportuna administración de recursos realizadas</t>
  </si>
  <si>
    <t>Acciones</t>
  </si>
  <si>
    <t>Asistencia a comités y consejos</t>
  </si>
  <si>
    <t>Número de asistencia a comités y consejos</t>
  </si>
  <si>
    <t>Número de usuarios vía presencial atendidos</t>
  </si>
  <si>
    <t>Usuarios atendidos vía presencial</t>
  </si>
  <si>
    <t>Número de usuarios vía virtual atendidos</t>
  </si>
  <si>
    <t>Usuarios atendidos vía virtual</t>
  </si>
  <si>
    <t>Número de mujeres emprendedoras y empresarias atendidas</t>
  </si>
  <si>
    <t>Mujeres emprendedoras y empresarias atendidas</t>
  </si>
  <si>
    <t>Número de niñas, niños y adolescentes atendidos</t>
  </si>
  <si>
    <t>Niñas, Niños y Adolescentes atendidos</t>
  </si>
  <si>
    <t>Participación en eventos</t>
  </si>
  <si>
    <t>Número de participación en eventos</t>
  </si>
  <si>
    <t>Número de nuevas alianzas generadas</t>
  </si>
  <si>
    <t>Alianzas nuevas generadas</t>
  </si>
  <si>
    <t>Número de seguimiento a programas interinstitucionales</t>
  </si>
  <si>
    <t>Seguimiento a programas interinstitucionales</t>
  </si>
  <si>
    <t>Número de administracion de recursos financieros realizadas</t>
  </si>
  <si>
    <t>Administración de recursos financieros realizados</t>
  </si>
  <si>
    <t>Número de gestiones de recursos humanos realizadas</t>
  </si>
  <si>
    <t>Gestiones de recursos humanos realizadas</t>
  </si>
  <si>
    <t>Número de gestiones de recursos materiales realizadas</t>
  </si>
  <si>
    <t>Gestiones de recursos materiales realizadas</t>
  </si>
  <si>
    <t>2 Pachuca Próspera y con Dinamismo Económico</t>
  </si>
  <si>
    <t>Renovación de Licencias de Funcionamiento de Establecimientos Mercantiles</t>
  </si>
  <si>
    <t>Índice de Avance del mantenimiento de los establecimientos mercantiles regulados</t>
  </si>
  <si>
    <t>Mantenimiento de los establecimientos mercantiles regulados</t>
  </si>
  <si>
    <t>Dirección de Desarrollo Económico</t>
  </si>
  <si>
    <t>Tasa de avance en Renovación de Licencias de Funcionamiento</t>
  </si>
  <si>
    <t>Renovación de Licencias de Funcionamiento</t>
  </si>
  <si>
    <t>Porcentaje de asesorías para la renovación de licencia de funcionamiento eficientemente otorgadas.</t>
  </si>
  <si>
    <t>Asesorías para la renovación de licencias de funcionamiento</t>
  </si>
  <si>
    <t>Porcentaje de solicitudes de renovación de licencias de funcionamiento atendidas oportunamente</t>
  </si>
  <si>
    <t>Solicitudes de renovación de licencias de funcionamiento</t>
  </si>
  <si>
    <t>Porcentaje de Renovaciones simplificadas de Licencias de Funcionamiento otorgadas.</t>
  </si>
  <si>
    <t>Renovaciones de licencias de funcionamiento</t>
  </si>
  <si>
    <t>Número de usuarios que solicitan información</t>
  </si>
  <si>
    <t>Usuarios que solicitan información</t>
  </si>
  <si>
    <t>Número de usuarios en seguimiento</t>
  </si>
  <si>
    <t>Usuarios en seguimiento</t>
  </si>
  <si>
    <t>Número de usuarios atendidos</t>
  </si>
  <si>
    <t>Usuarios atendidos</t>
  </si>
  <si>
    <t>Número de usuarios registrados o recuperados</t>
  </si>
  <si>
    <t>Usuarios registrados o recuperados</t>
  </si>
  <si>
    <t>Número de solicitudes de renovación recibidas</t>
  </si>
  <si>
    <t>Solicitudes de renovación recibidas</t>
  </si>
  <si>
    <t>Número de expedientes revisados</t>
  </si>
  <si>
    <t>Expedientes realizados</t>
  </si>
  <si>
    <t>Número de Formatos de Pago emitidos</t>
  </si>
  <si>
    <t>Formatos de pago emitidos</t>
  </si>
  <si>
    <t>Número de pagos validados</t>
  </si>
  <si>
    <t>Pagos validados</t>
  </si>
  <si>
    <t>Número de formatos digitales generados</t>
  </si>
  <si>
    <t>Formatos digitales generados</t>
  </si>
  <si>
    <t>Número de formatos digitales validados</t>
  </si>
  <si>
    <t>Formatos digitales validados</t>
  </si>
  <si>
    <t>Número de licencias de funcionamiento firmadas</t>
  </si>
  <si>
    <t>Licencias de funcionamiento firmadas</t>
  </si>
  <si>
    <t>Número de licencias de funcionamiento enviadas</t>
  </si>
  <si>
    <t>Licencias de funcionamiento enviadas</t>
  </si>
  <si>
    <t>Apertura de Licencias de Funcionamiento de Establecimientos Mercantiles</t>
  </si>
  <si>
    <t>Índice de Licencias de Funcionamiento aperturadas</t>
  </si>
  <si>
    <t>Licencias de Funcionamiento aperturadas</t>
  </si>
  <si>
    <t>Dirección de Mejora Regulatoria</t>
  </si>
  <si>
    <t>Tasa de Licencias de Apertura otorgadas</t>
  </si>
  <si>
    <t>Licencias de Apertura otorgadas</t>
  </si>
  <si>
    <t>Porcentaje de asesorías para la apertura de Licencias de Funcionamiento otorgadas</t>
  </si>
  <si>
    <t>Asesoría</t>
  </si>
  <si>
    <t>Porcentaje de solicitudes de Apertura de Licencias de Funcionamiento atendidas</t>
  </si>
  <si>
    <t>Solicitud de Licencia de Funcionamiento de Apertura</t>
  </si>
  <si>
    <t>Porcentaje de Licencias de Funcionamiento de apertura emitidas</t>
  </si>
  <si>
    <t>Licencia de Funcionamiento</t>
  </si>
  <si>
    <t>Número de entrevistas realizadas</t>
  </si>
  <si>
    <t>Entrevistas realizadas</t>
  </si>
  <si>
    <t>Número de interesados que obtienen información</t>
  </si>
  <si>
    <t>Interesados que obtienen información</t>
  </si>
  <si>
    <t>Número de usuarios registrados</t>
  </si>
  <si>
    <t>Usuarios registrados</t>
  </si>
  <si>
    <t>Número de solicitudes recibidas</t>
  </si>
  <si>
    <t>Solicitud Recibida</t>
  </si>
  <si>
    <t>Número de solicitudes de permiso provisional recibidas</t>
  </si>
  <si>
    <t>Solicitudes de permiso provisional recibidas</t>
  </si>
  <si>
    <t>Expediente Revisado</t>
  </si>
  <si>
    <t>Pago Validado</t>
  </si>
  <si>
    <t>Formato Digital Generado</t>
  </si>
  <si>
    <t>Número de formatos digitales de permisos provisionales generados</t>
  </si>
  <si>
    <t>Formatos digitales de permisos provisionales generados</t>
  </si>
  <si>
    <t>Consume Pachuca</t>
  </si>
  <si>
    <t>Índice de actividades de fortalecimiento de unidades económicas realizadas</t>
  </si>
  <si>
    <t>Actividades de fortalecimiento de unidades económicas</t>
  </si>
  <si>
    <t>Tasa de unidades económicas fortalecidas</t>
  </si>
  <si>
    <t>Unidades económicas fortalecidas</t>
  </si>
  <si>
    <t>Porcentaje de acciones ejecutadas para el impulso del consumo local</t>
  </si>
  <si>
    <t>Acción de impulso</t>
  </si>
  <si>
    <t>Porcentaje de actividades realizadas para el fomento de la cultura empresarial</t>
  </si>
  <si>
    <t>Número de presentaciones realizadas</t>
  </si>
  <si>
    <t>Presentaciones realizadas</t>
  </si>
  <si>
    <t>Número de comercios registrados</t>
  </si>
  <si>
    <t>Comercios registrados</t>
  </si>
  <si>
    <t>Número de productos validados</t>
  </si>
  <si>
    <t>Productos validados</t>
  </si>
  <si>
    <t>Número de registros completados</t>
  </si>
  <si>
    <t>Registros completados</t>
  </si>
  <si>
    <t>Número de diagnósticos aplicados</t>
  </si>
  <si>
    <t>Diagnósticos aplicados</t>
  </si>
  <si>
    <t>Número de asesorías otorgadas</t>
  </si>
  <si>
    <t>Asesorías Otorgadas</t>
  </si>
  <si>
    <t>Número de eventos realizados.</t>
  </si>
  <si>
    <t>Número de eventos enfocados a mujeres realizados</t>
  </si>
  <si>
    <t>Eventos enfocados a mujeres realizados</t>
  </si>
  <si>
    <t>Número de talleres realizados</t>
  </si>
  <si>
    <t>Talleres realizados</t>
  </si>
  <si>
    <t>Número de cursos, talleres y capacitaciones realizadas</t>
  </si>
  <si>
    <t>Cursos, talleres y capacitaciones realizadas</t>
  </si>
  <si>
    <t>Número de vinculaciones realizadas</t>
  </si>
  <si>
    <t>Vinculaciones realizadas</t>
  </si>
  <si>
    <t>Bolsa de Empleo Pachuca</t>
  </si>
  <si>
    <t>Índice de vinculaciones realizadas</t>
  </si>
  <si>
    <t>Tasa de buscadores de empleo vinculados</t>
  </si>
  <si>
    <t>Buscadores de empleo vinculados</t>
  </si>
  <si>
    <t>Porcentaje de atenciones a empresas ofertantes otorgadas</t>
  </si>
  <si>
    <t>Atención a empresas</t>
  </si>
  <si>
    <t>Porcentaje de asesorías a buscadores de empleo realizadas</t>
  </si>
  <si>
    <t>Asesoría a buscadores de empleo</t>
  </si>
  <si>
    <t>Porcentaje de eventos de empleo efectuados</t>
  </si>
  <si>
    <t>Evento de empleo</t>
  </si>
  <si>
    <t>Número de revisiones realizadas</t>
  </si>
  <si>
    <t>Revisiones realizadas</t>
  </si>
  <si>
    <t>Número de filtrados de registros efectuados</t>
  </si>
  <si>
    <t>Filtrados de registros efectuados</t>
  </si>
  <si>
    <t>Número de actividades de entrega de cartera realizadas</t>
  </si>
  <si>
    <t>Actividades de entrega</t>
  </si>
  <si>
    <t>Número de seguimiento de aspirantes vinculados</t>
  </si>
  <si>
    <t>Aspirantes vinculados</t>
  </si>
  <si>
    <t>Número de vacantes actualizadas</t>
  </si>
  <si>
    <t>Vacantes actualizadas</t>
  </si>
  <si>
    <t>Número de perfiles detectados</t>
  </si>
  <si>
    <t>Perfil detectado</t>
  </si>
  <si>
    <t>Número de entrega de información a buscadores de empleo</t>
  </si>
  <si>
    <t>Entrega de información a buscadores de empleos</t>
  </si>
  <si>
    <t>Número de buscadores de empleo atendidos virtualmente</t>
  </si>
  <si>
    <t>Buscadores de empleo atendidos virtualmente</t>
  </si>
  <si>
    <t>Número de planeaciones realizadas</t>
  </si>
  <si>
    <t>Planeaciones realizadas</t>
  </si>
  <si>
    <t>Número de vinculaciones a capacitaciones</t>
  </si>
  <si>
    <t>Vinculaciones a capacitación</t>
  </si>
  <si>
    <t>Número de vinculaciones a talleres</t>
  </si>
  <si>
    <t>Vinculaciones a talleres</t>
  </si>
  <si>
    <t>Número de actividades coordinadas durante los eventos</t>
  </si>
  <si>
    <t>Actividades coordinadas durante los eventos</t>
  </si>
  <si>
    <t>Número de participantes registrados</t>
  </si>
  <si>
    <t>Participantes registrados</t>
  </si>
  <si>
    <t>Certificación de Competencias</t>
  </si>
  <si>
    <t>Índice de acciones realizadas para la capacitación de competencias y certificación</t>
  </si>
  <si>
    <t>Acciones realizadas para la capacitación de competencias y certificación</t>
  </si>
  <si>
    <t>Tasa de personas que se certifican</t>
  </si>
  <si>
    <t>Personas que se certifican</t>
  </si>
  <si>
    <t>Porcentaje de personas con competencias capacitadas</t>
  </si>
  <si>
    <t>Persona capacitada</t>
  </si>
  <si>
    <t>Porcentaje de Evaluaciones de competencias realizadas</t>
  </si>
  <si>
    <t>Evaluaciones</t>
  </si>
  <si>
    <t>Porcentaje de certificados generados</t>
  </si>
  <si>
    <t>Certificados</t>
  </si>
  <si>
    <t>Porcentaje de acciones de fortalecimiento realizadas</t>
  </si>
  <si>
    <t>Acciones realizadas</t>
  </si>
  <si>
    <t>Porcentaje de actividades para el desarrollo realizadas</t>
  </si>
  <si>
    <t>Actividades realizadas</t>
  </si>
  <si>
    <t>Número de cursos planificados</t>
  </si>
  <si>
    <t>Cursos planificados</t>
  </si>
  <si>
    <t>Número de difusiones realizadas</t>
  </si>
  <si>
    <t>Difusiones realizadas</t>
  </si>
  <si>
    <t>Número de participantes</t>
  </si>
  <si>
    <t>Participantes</t>
  </si>
  <si>
    <t>Número de capacitaciones realizadas</t>
  </si>
  <si>
    <t>Capacitaciones realizadas</t>
  </si>
  <si>
    <t>Número de exámenes de diagnóstico realizados</t>
  </si>
  <si>
    <t>Exámen Diagnóstico</t>
  </si>
  <si>
    <t>Número de fichas elaboradas</t>
  </si>
  <si>
    <t>Fichas elaboradas</t>
  </si>
  <si>
    <t>Número de informes entregados</t>
  </si>
  <si>
    <t>Informes entregados</t>
  </si>
  <si>
    <t>Número de planes de evaluación presentados</t>
  </si>
  <si>
    <t>Planes de evaluación presentados</t>
  </si>
  <si>
    <t>Número de instrumentos de evaluación aplicados</t>
  </si>
  <si>
    <t>Instrumento de Evaluación</t>
  </si>
  <si>
    <t>Número de cédulas entregadas</t>
  </si>
  <si>
    <t>Cédulas entregadas</t>
  </si>
  <si>
    <t>Número de certificados gestionados</t>
  </si>
  <si>
    <t>Certificados gestionados</t>
  </si>
  <si>
    <t>certificados gestionados</t>
  </si>
  <si>
    <t>Número de solicitudes realizadas</t>
  </si>
  <si>
    <t>Solicitudes realizadas</t>
  </si>
  <si>
    <t>Número de renovaciones solicitadas</t>
  </si>
  <si>
    <t>Renovaciones solicitadas</t>
  </si>
  <si>
    <t>Número de estándares solicitados para adicionar</t>
  </si>
  <si>
    <t>Estándares solicitados para adicionar</t>
  </si>
  <si>
    <t>Número de verificaciones efectuadas</t>
  </si>
  <si>
    <t>Verificaciones efectuadas</t>
  </si>
  <si>
    <t>Número de Reposiciones, Reexpediciones y Reimpresiones de Certificados</t>
  </si>
  <si>
    <t>Reposiciones, Reexpediciones y Reimpresiones de Certificados efectuados</t>
  </si>
  <si>
    <t>Mejora Regulatoria</t>
  </si>
  <si>
    <t>Índice de acciones de políticas públicas que promueven la facilidad realizadas</t>
  </si>
  <si>
    <t>Acciones de políticas públicas</t>
  </si>
  <si>
    <t>Tasa de herramientas, políticas y regulaciones implementadas</t>
  </si>
  <si>
    <t>Herramientas, políticas y regulaciones implementadas</t>
  </si>
  <si>
    <t>Porcentaje de diagnósticos de trámites y servicios realizados</t>
  </si>
  <si>
    <t>Diagnóstico</t>
  </si>
  <si>
    <t>Porcentaje de propuestas de reforma a trámites y servicios presentadas</t>
  </si>
  <si>
    <t>Propuesta de Reforma</t>
  </si>
  <si>
    <t>Porcentaje de trámites y servicios digitalizados</t>
  </si>
  <si>
    <t>Trámite o Servicio</t>
  </si>
  <si>
    <t>Porcentaje de Seguimiento a Trámites y Servicios</t>
  </si>
  <si>
    <t>Seguimientos</t>
  </si>
  <si>
    <t>Número de instrumentos jurídicos de mejora regulatoria analizados</t>
  </si>
  <si>
    <t>Instrumento Jurídico</t>
  </si>
  <si>
    <t>Número de diagnósticos realizados</t>
  </si>
  <si>
    <t>Diagnósticos realizados</t>
  </si>
  <si>
    <t>Asesorías otorgadas</t>
  </si>
  <si>
    <t>Número de análisis realizados</t>
  </si>
  <si>
    <t>Análisis Realizado</t>
  </si>
  <si>
    <t>Número de actividades para la digitalización de proceso CONOCER</t>
  </si>
  <si>
    <t>Actividades para la digitalización de proceso de permiso de publicidad en perifoneo</t>
  </si>
  <si>
    <t>Número de actividades para la digitalización de proceso de permiso de publicidad en perifoneo</t>
  </si>
  <si>
    <t>Número de sesiones realizadas</t>
  </si>
  <si>
    <t>Sesiones realizadas</t>
  </si>
  <si>
    <t>Número de puntos de internet gratuito instalados</t>
  </si>
  <si>
    <t>Puntos de internet gratuitos instalados</t>
  </si>
  <si>
    <t>Promoción y Difusión Turística</t>
  </si>
  <si>
    <t>Índice de campañas para la promoción y difusión de los atractivos de la ciudad</t>
  </si>
  <si>
    <t>Campañas para la promoción y difusión</t>
  </si>
  <si>
    <t>Dirección de Desarrollo Turístico</t>
  </si>
  <si>
    <t>Tasa de personas alcanzadas con la difusión y promoción de Pachuca</t>
  </si>
  <si>
    <t>Personas alcanzadas</t>
  </si>
  <si>
    <t>Porcentaje de turistas atendidos en los 3 módulos de orientación turística</t>
  </si>
  <si>
    <t>Turistas Atendidos en módulos de información</t>
  </si>
  <si>
    <t>Porcentaje de contenidos digitales publicados en redes sociales</t>
  </si>
  <si>
    <t>Porcentaje de prestadores de servicios turísticos y personal de primer contacto capacitados</t>
  </si>
  <si>
    <t>Prestadores de servicios turísticos y personal de primer contacto</t>
  </si>
  <si>
    <t>Porcentaje de convenios para el establecimiento de alianzas con instituciones, municipios o entidades</t>
  </si>
  <si>
    <t>Convenios</t>
  </si>
  <si>
    <t>Número de visitantes satisfechos con la atención en los módulos de orientación turística</t>
  </si>
  <si>
    <t>Visitantes satisfechos</t>
  </si>
  <si>
    <t>Número de folletos y mapas impresos</t>
  </si>
  <si>
    <t>Folletos y mapas impresos</t>
  </si>
  <si>
    <t>Número de cédulas de información integradas</t>
  </si>
  <si>
    <t>Cédulas de información</t>
  </si>
  <si>
    <t>Número de fotografías recopiladas para las publicaciones</t>
  </si>
  <si>
    <t>Fotografías recopiladas</t>
  </si>
  <si>
    <t>Número de plantillas publicitarias diseñadas</t>
  </si>
  <si>
    <t>Pantallas publicitarias</t>
  </si>
  <si>
    <t>Número de actividades con dependencias estatales y federales realizadas en materia turística</t>
  </si>
  <si>
    <t>Actividades con dependencias</t>
  </si>
  <si>
    <t>Número de actividades con instituciones certificadoras de guías turísticos</t>
  </si>
  <si>
    <t>Actividades con instituciones certificadoras</t>
  </si>
  <si>
    <t>Número de convenios firmados para la promoción y difusión de Pachuca</t>
  </si>
  <si>
    <t>Convenios firmados</t>
  </si>
  <si>
    <t>Número de participaciones en ferias turísticas nacionales o internacionales.</t>
  </si>
  <si>
    <t>Participaciones en ferias</t>
  </si>
  <si>
    <t>Productos Turísticos</t>
  </si>
  <si>
    <t>Índice de productos turísticos atractivos e innovadores desarrollados</t>
  </si>
  <si>
    <t>Productos turísticos atractivos e innovadores</t>
  </si>
  <si>
    <t>Tasa porcentual de visitantes que asisten a los recorridos.</t>
  </si>
  <si>
    <t>Visitantes que asisten a los recorridos</t>
  </si>
  <si>
    <t>Porcentaje de variación en los ingresos por recorridos turísticos y venta de artesanías</t>
  </si>
  <si>
    <t>Ingresos</t>
  </si>
  <si>
    <t>Porcentaje de eventos en programas sostenibles en materia turística y social ejecutados</t>
  </si>
  <si>
    <t>Eventos</t>
  </si>
  <si>
    <t>Porcentaje de productos turísticos generados</t>
  </si>
  <si>
    <t>Productos turísticos</t>
  </si>
  <si>
    <t>Número de turistas o visitantes que realizan el recorrido Pachuca Vibra con los balcones del Reloj Monumental</t>
  </si>
  <si>
    <t>Número de visitantes</t>
  </si>
  <si>
    <t>Número de turistas o visitantes que realizan el recorrido Pachuca Vibra con la maquinaria del Reloj Monumental</t>
  </si>
  <si>
    <t>Número de turistas o visitantes que realizan el recorrido Pachuca Vibra con su pasado y a su presente</t>
  </si>
  <si>
    <t>Número de turistas o visitantes que realizan el recorrido Pachuca Vibra con su Ruta Arqueológica Minera</t>
  </si>
  <si>
    <t>Número de turistas o visitantes que realizan el recorrido Pachuca Vibra con sus recorridos especiales</t>
  </si>
  <si>
    <t>Número de artesanías vendidas</t>
  </si>
  <si>
    <t>Artesanías Vendidas</t>
  </si>
  <si>
    <t>Número de actividades implementadas en el programa #FamiliaEnRevolución</t>
  </si>
  <si>
    <t>Actividades implementadas</t>
  </si>
  <si>
    <t>Número de actividades implementadas en el programa #RelojEnFamilia</t>
  </si>
  <si>
    <t>Número de espacios de exhibición y venta para el sector artesanal gestionados .</t>
  </si>
  <si>
    <t>Espacios de exhibición y venta</t>
  </si>
  <si>
    <t>Número de catálogos digitales de atractivos turísticos por segmentos generados</t>
  </si>
  <si>
    <t>Catálogos digitales</t>
  </si>
  <si>
    <t>Número de asistentes al recorrido Pachuca vibra con sus leyendas</t>
  </si>
  <si>
    <t>Asistentes al recorrido</t>
  </si>
  <si>
    <t>Número de apoyos brindados para la realizaciòn de filmaciones en la ciudad.</t>
  </si>
  <si>
    <t>Apoyos brindados</t>
  </si>
  <si>
    <t>Número de actividades culturales y artísticas realizadas en la celebración del aniversario del Reloj Monumental</t>
  </si>
  <si>
    <t>Actividades culturales y artísticas</t>
  </si>
  <si>
    <t>Número de usuarios de productos turísticos de romance</t>
  </si>
  <si>
    <t>Usuarios</t>
  </si>
  <si>
    <t>Feria Tradicional de San Francisco</t>
  </si>
  <si>
    <t>Índice de la derrama económica en la Feria Tradicional de San Francisco</t>
  </si>
  <si>
    <t>Derrama económica</t>
  </si>
  <si>
    <t>Tasa de visitantes que acuden a la Tradicional Feria de San Francisco</t>
  </si>
  <si>
    <t>Visitantes que acuden a la Tradicional Feria de San Francisco</t>
  </si>
  <si>
    <t>Porcentaje de espectáculos, servicios y actividades turísticas que se ofrecen en la Tradicional Feria de San Francisco</t>
  </si>
  <si>
    <t>Espectáculos, Servicios y Actividades Turísticas Realizadas</t>
  </si>
  <si>
    <t>Porcentaje de artesanos instalados en el pabellón</t>
  </si>
  <si>
    <t>Artesanos Instalados en el Pabellón</t>
  </si>
  <si>
    <t>Porcentaje de participaciones en Ferias</t>
  </si>
  <si>
    <t>Participación en Ferias</t>
  </si>
  <si>
    <t>Presentaciones artísticas</t>
  </si>
  <si>
    <t>Número de presentaciones artísticas</t>
  </si>
  <si>
    <t>Número de visitas guiadas dentro de la Parroquia de San Francisco</t>
  </si>
  <si>
    <t>Visitas guiadas</t>
  </si>
  <si>
    <t>Número de ventas de artesanías</t>
  </si>
  <si>
    <t>Ventas de artesanías</t>
  </si>
  <si>
    <t>Número de talleres artesanales realizados</t>
  </si>
  <si>
    <t>Talleres artesanales</t>
  </si>
  <si>
    <t>Número de participación en ferias</t>
  </si>
  <si>
    <t>Museo Virtual de Pachuca</t>
  </si>
  <si>
    <t>Índice de programas educativos y culturales con enfoque en artes visuales</t>
  </si>
  <si>
    <t>Programas educativos y culturales</t>
  </si>
  <si>
    <t>Tasa de publicaciones y actividades realizadas</t>
  </si>
  <si>
    <t>Publicaciones y actividades realizadas</t>
  </si>
  <si>
    <t>Porcentaje de artistas beneficiados con la publicación de contenidos de patrimonio cultural y artístico</t>
  </si>
  <si>
    <t>Publicación de contenidos</t>
  </si>
  <si>
    <t>Porcentaje de personas atendidas a través de 11 actividades lúdicas</t>
  </si>
  <si>
    <t>Número de actividades realizadas, registro fotográfico</t>
  </si>
  <si>
    <t>Porcentaje de exposiciones realizadas de manera física o virtual y actividades culturales</t>
  </si>
  <si>
    <t>Número de exposiciones</t>
  </si>
  <si>
    <t>Porcentaje de visitas registradas en la página web del museo y en redes sociales</t>
  </si>
  <si>
    <t>Usuarios de redes y visitantes de la página web</t>
  </si>
  <si>
    <t>Número de contenidos en redes sociales del museo</t>
  </si>
  <si>
    <t>Contenidos en redes sociales</t>
  </si>
  <si>
    <t>Número de videos sobre el patrimonio</t>
  </si>
  <si>
    <t>Videos</t>
  </si>
  <si>
    <t>Número de contenidos en el sitio web www.muvipa.com.mx</t>
  </si>
  <si>
    <t>Contenidos en el sitio web</t>
  </si>
  <si>
    <t>Contenidos para personas con discapacidades</t>
  </si>
  <si>
    <t>Número de contenidos para personas con discapacidades</t>
  </si>
  <si>
    <t>Número de cursos o talleres realizados</t>
  </si>
  <si>
    <t>Cursos o talleres</t>
  </si>
  <si>
    <t>Número de actividades recreativas realizadas</t>
  </si>
  <si>
    <t>Actividades recreativas</t>
  </si>
  <si>
    <t>Número de exposiciones temporales creadas</t>
  </si>
  <si>
    <t>Exposiciones temporales</t>
  </si>
  <si>
    <t>Número de exposiciones físicas producidas</t>
  </si>
  <si>
    <t>Exposiciones físicas</t>
  </si>
  <si>
    <t>Número de actividades culturales ejecutadas</t>
  </si>
  <si>
    <t>Actividades culturales</t>
  </si>
  <si>
    <t>Número de variación de nuevos seguidores en redes sociales</t>
  </si>
  <si>
    <t>Nuevos seguidores</t>
  </si>
  <si>
    <t>Número de variación de interacciones de publicaciones en redes sociales</t>
  </si>
  <si>
    <t>Nuevas Interacciones</t>
  </si>
  <si>
    <t>Número de estrategias digitales para sitio web diseñadas</t>
  </si>
  <si>
    <t>Estrategias digitales</t>
  </si>
  <si>
    <t>Coordinación de la Secretaría de Administración</t>
  </si>
  <si>
    <t>Porcentaje de Unidades administrativas debidamente atendidas</t>
  </si>
  <si>
    <t>Solicitud de bienes y servicios</t>
  </si>
  <si>
    <t>Secretaria de Administración</t>
  </si>
  <si>
    <t>Porcentaje de coordinaciones debidamente realizadas</t>
  </si>
  <si>
    <t>Número de Coordinaciones</t>
  </si>
  <si>
    <t>Número de canalizaciones de solicitudes debidamente realizadas</t>
  </si>
  <si>
    <t>Solicitudes canalizadas</t>
  </si>
  <si>
    <t>Número de oficios de respuesta debidamente realizados</t>
  </si>
  <si>
    <t>Números de oficios</t>
  </si>
  <si>
    <t>Número de solicitudes de bienes y/o servicios</t>
  </si>
  <si>
    <t>Solicitudes de Bienes y/o Servicios</t>
  </si>
  <si>
    <t>Número de respuestas realizadas por las Direcciones</t>
  </si>
  <si>
    <t>Respuestas realizadas</t>
  </si>
  <si>
    <t>Mantenimiento y servicios</t>
  </si>
  <si>
    <t>Porcentajes políticas de uso de tecnologías para los procesos de mantenimiento preventivo y correctivo</t>
  </si>
  <si>
    <t>Índice de mantenimiento</t>
  </si>
  <si>
    <t>Dirección de Servicios Generales</t>
  </si>
  <si>
    <t>Porcentaje de inmuebles que reciben un adecuado mantenimiento</t>
  </si>
  <si>
    <t>Inmuebles</t>
  </si>
  <si>
    <t>Porcentaje de órdenes de trabajo de mantenimiento oportunamente atendidas.</t>
  </si>
  <si>
    <t>Órdenes de Trabajo</t>
  </si>
  <si>
    <t>Porcentajes de órdenes de limpieza debidamente realizado</t>
  </si>
  <si>
    <t>Ordenes de Limpieza</t>
  </si>
  <si>
    <t>Número de solicitudes recepcionadas</t>
  </si>
  <si>
    <t>Solicitudes recepcionadas</t>
  </si>
  <si>
    <t>Número encuestas realizadas</t>
  </si>
  <si>
    <t>Encuestas realizadas</t>
  </si>
  <si>
    <t>Gestión y Control de Servicios</t>
  </si>
  <si>
    <t>Porcentaje de reducción del gasto operativo generado</t>
  </si>
  <si>
    <t>Gasto operativo</t>
  </si>
  <si>
    <t>Porcentaje suministros y servicios debidamente proporcionados</t>
  </si>
  <si>
    <t>Suministros y servicios proporcionados</t>
  </si>
  <si>
    <t>Número de órdenes de suministros de combustible atendidas.</t>
  </si>
  <si>
    <t>Órdenes de Suministro</t>
  </si>
  <si>
    <t>Servicios básicos pagados</t>
  </si>
  <si>
    <t>Número de servicios básicos pagados.</t>
  </si>
  <si>
    <t>Número de arrendamientos pagados.</t>
  </si>
  <si>
    <t>Arrendamientos pagados</t>
  </si>
  <si>
    <t>Número de órdenes de suministros atendidas</t>
  </si>
  <si>
    <t>Órdenes de suministro de combustible atendidas</t>
  </si>
  <si>
    <t>Número de servicios pagados</t>
  </si>
  <si>
    <t>Servicios de arrendamiento pagados</t>
  </si>
  <si>
    <t>Control Vehicular</t>
  </si>
  <si>
    <t>Porcentaje del implementación de plataforma digital</t>
  </si>
  <si>
    <t>Porcentaje de servicios mecánicos y administrativos proporcionados.</t>
  </si>
  <si>
    <t>Servicios</t>
  </si>
  <si>
    <t>Porcentajes de servicios mecánicos y administrativos proporcionados</t>
  </si>
  <si>
    <t>Porcentajes de servicio de mantenimiento vehicular debidamente realizado</t>
  </si>
  <si>
    <t>Servicios de Mantenimiento</t>
  </si>
  <si>
    <t>Porcentajes de solicitudes de mantenimiento preventivo y correctivo del parque vehicular</t>
  </si>
  <si>
    <t>Solicitudes de mantenimiento preventivo y correctivo del parque vehicular</t>
  </si>
  <si>
    <t>Porcentaje de satisfacción respecto al servicio</t>
  </si>
  <si>
    <t>Satisfacción respecto al servicio</t>
  </si>
  <si>
    <t>Contratación de Bienes, Servicios, Arrendamientos y Obra Pública</t>
  </si>
  <si>
    <t>Mantenimiento a las TIC´S</t>
  </si>
  <si>
    <t>Variación porcentual de mejoras en los procesos tecnológicos</t>
  </si>
  <si>
    <t>Procesos</t>
  </si>
  <si>
    <t>Dirección de Informática</t>
  </si>
  <si>
    <t>Porcentaje de mejoras en el desempeño de los trabajadores</t>
  </si>
  <si>
    <t>Mejoras en el desempeño</t>
  </si>
  <si>
    <t>Número de mantenimientos preventivos realizados</t>
  </si>
  <si>
    <t>Mantenimiento preventivo</t>
  </si>
  <si>
    <t>Porcentaje de mantenimientos correctivos realizados</t>
  </si>
  <si>
    <t>Mantenimiento Correctivo</t>
  </si>
  <si>
    <t>Porcentaje de órdenes de servicio aplicadas</t>
  </si>
  <si>
    <t>Órdenes de servicio de mantenimiento preventivo aplicadas</t>
  </si>
  <si>
    <t>Órdenes de servicio de mantenimiento correctivo aplicadas</t>
  </si>
  <si>
    <t>Indice de cumpliento a la normatividad en los procedimientos de contratación</t>
  </si>
  <si>
    <t>Procedimientos de contratación cumplidos</t>
  </si>
  <si>
    <t>Dirección de Compras y Suministros</t>
  </si>
  <si>
    <t>Porcentaje de solicitudes atendidas</t>
  </si>
  <si>
    <t>Solicitudes Atendidas</t>
  </si>
  <si>
    <t>Porcentaje de solicitudes de contratación recibidas</t>
  </si>
  <si>
    <t>Solicitudes de Contratación</t>
  </si>
  <si>
    <t>Porcentaje de procedimientos de contratación realizados</t>
  </si>
  <si>
    <t>Procedimientos de Contratación</t>
  </si>
  <si>
    <t>Porcentaje de notas de remisión validadas</t>
  </si>
  <si>
    <t>Notas de remisión</t>
  </si>
  <si>
    <t>Porcentaje de cumplimiento de la evaluación de proveedores</t>
  </si>
  <si>
    <t>Evaluación a proveedor</t>
  </si>
  <si>
    <t>Número de especificaciones realizadas</t>
  </si>
  <si>
    <t>Especificaciones realizadas</t>
  </si>
  <si>
    <t>Número de programaciones realizadas</t>
  </si>
  <si>
    <t>Programaciones realizadas de procedimientos de contratación</t>
  </si>
  <si>
    <t>Número de recepciones realizadas</t>
  </si>
  <si>
    <t>Recepciones de insumos realizadas</t>
  </si>
  <si>
    <t>Número de controles realizados</t>
  </si>
  <si>
    <t>Controles del procedimiento de adquisiciones realizado</t>
  </si>
  <si>
    <t>Recursos Humanos</t>
  </si>
  <si>
    <t>Índice de políticas implementadas que fortalecen el empleo pleno y productivo</t>
  </si>
  <si>
    <t>Impulso a políticas implementadas</t>
  </si>
  <si>
    <t>Dirección de Recursos Humanos</t>
  </si>
  <si>
    <t>Índice de mejoras en las condiciones laborales</t>
  </si>
  <si>
    <t>Mejoras en las condiciones laborales</t>
  </si>
  <si>
    <t>Número de servidores públicos capacitados</t>
  </si>
  <si>
    <t>Servidores públicos capacitados</t>
  </si>
  <si>
    <t>Número de procedimientos de reclutamiento y selección aplicados</t>
  </si>
  <si>
    <t>Procedimientos de reclutamiento y selección</t>
  </si>
  <si>
    <t>Número de plazas oportunamente pagadas</t>
  </si>
  <si>
    <t>Plazas pagadas</t>
  </si>
  <si>
    <t>Número de evaluaciones aplicadas</t>
  </si>
  <si>
    <t>Evaluaciones aplicadas</t>
  </si>
  <si>
    <t>Número de contrataciones de candidatos evaluados</t>
  </si>
  <si>
    <t>Contrataciones de candidatos evaluados</t>
  </si>
  <si>
    <t>Número de cumplimiento del calendario de nómina</t>
  </si>
  <si>
    <t>Cumplimiento del calendario de nómina</t>
  </si>
  <si>
    <t>Sindicato</t>
  </si>
  <si>
    <t>Porcentaje de políticas que fortalecen el pleno empleo en el municipio</t>
  </si>
  <si>
    <t>Políticas</t>
  </si>
  <si>
    <t>Porcentaje de trabajadores Beneficiados</t>
  </si>
  <si>
    <t>Trabajadores beneficiados</t>
  </si>
  <si>
    <t>Número de beneficiarios en consulta externa atendidos</t>
  </si>
  <si>
    <t>Consultas externas</t>
  </si>
  <si>
    <t>Número de apoyos económicos y en especie entregados</t>
  </si>
  <si>
    <t>Apoyos Económicos y en Especie</t>
  </si>
  <si>
    <t>Número de pagos por concepto de servicio médico otorgados</t>
  </si>
  <si>
    <t>Pagos por concepto de servicio médico</t>
  </si>
  <si>
    <t>Número de pagos por concepto de apoyos económicos solicitados por sindicato</t>
  </si>
  <si>
    <t>Pagos por concepto de apoyos económicos y en especie</t>
  </si>
  <si>
    <t>Jubilados</t>
  </si>
  <si>
    <t>Índice de políticas que mejoren las condiciones económicas del personal jubilado</t>
  </si>
  <si>
    <t>Número de políticas</t>
  </si>
  <si>
    <t>Porcentaje de satisfacción del personal jubilado y pensionado</t>
  </si>
  <si>
    <t>Número de jubilados</t>
  </si>
  <si>
    <t>Número de prestaciones otorgadas</t>
  </si>
  <si>
    <t>Estímulos pagados</t>
  </si>
  <si>
    <t>Número de jubilaciones otorgadas</t>
  </si>
  <si>
    <t>Número de jubilaciones</t>
  </si>
  <si>
    <t>Número de solicitudes de ampliación presupuestal</t>
  </si>
  <si>
    <t>Personas jubiladas</t>
  </si>
  <si>
    <t>Consultas a expedientes</t>
  </si>
  <si>
    <t>Número de consultas</t>
  </si>
  <si>
    <t>Coordinación de la Secretaría de Contraloría y Transparencia</t>
  </si>
  <si>
    <t>Índice de cumplimiento de las actividades priorizadas</t>
  </si>
  <si>
    <t>Índice de cumplimiento</t>
  </si>
  <si>
    <t>Secretaría de Contraloría y Transparencia Municipal</t>
  </si>
  <si>
    <t>Porcentaje de supervisiones y seguimientos a las obligaciones y
facultades aplicables realizadas</t>
  </si>
  <si>
    <t>Porcentaje de Supervisiones</t>
  </si>
  <si>
    <t>Porcentaje de reuniones internas efectuadas</t>
  </si>
  <si>
    <t>Reuniones internas</t>
  </si>
  <si>
    <t>Porcentaje de reuniones efectuadas con diferentes instancias</t>
  </si>
  <si>
    <t>Reuniones con diferentes instancias</t>
  </si>
  <si>
    <t>Número total de convocatorias</t>
  </si>
  <si>
    <t>Convocatorias</t>
  </si>
  <si>
    <t>9</t>
  </si>
  <si>
    <t>Revisión y Mejoramiento del Sistema del Control Interno de la Administración Pública Municipal de Pachuca de Soto, Estado de Hidalgo</t>
  </si>
  <si>
    <t>Índice de implementación de Control Interno</t>
  </si>
  <si>
    <t>Índice de implementación</t>
  </si>
  <si>
    <t>Dirección de Control</t>
  </si>
  <si>
    <t>Implementación del Control Interno en Secretarías y Organismos Descentralizados de la Administración Pública Municipal de Pachuca de Soto</t>
  </si>
  <si>
    <t>Número de eventos</t>
  </si>
  <si>
    <t>Porcentaje de revisiones realizadas</t>
  </si>
  <si>
    <t>Número de revisiones</t>
  </si>
  <si>
    <t>Porcentaje de Implementación del Marco Integrado de Control interno en la Administración</t>
  </si>
  <si>
    <t>Número de visitas de seguimiento</t>
  </si>
  <si>
    <t>Capacitaciones Realizadas</t>
  </si>
  <si>
    <t>Número de asesorías realizadas</t>
  </si>
  <si>
    <t>Asesorias de Control Interno</t>
  </si>
  <si>
    <t>Número de revisiones realizadas a Secretarías y Organismos Descentralizados</t>
  </si>
  <si>
    <t>Revisiones</t>
  </si>
  <si>
    <t>Visitas realizadas</t>
  </si>
  <si>
    <t>Auditoría Financiera e Inspección y Vigilancia de Obra Pública</t>
  </si>
  <si>
    <t>Índice de revisiones, auditorías e inspecciones programadas contra ejecutadas</t>
  </si>
  <si>
    <t>Revisiones, auditorías e inspecciones</t>
  </si>
  <si>
    <t>Dirección de Auditoría</t>
  </si>
  <si>
    <t>Tasa de recursos auditados o revisados respecto al monto auditable</t>
  </si>
  <si>
    <t>Recursos Auditados o revisados</t>
  </si>
  <si>
    <t>Porcentaje de avance de auditorías y revisiones realizadas</t>
  </si>
  <si>
    <t>Auditorías y Revisiones</t>
  </si>
  <si>
    <t>Áreas Inspeccionadas o vigiladas</t>
  </si>
  <si>
    <t>Número de auditorías realizadas respecto de las programadas</t>
  </si>
  <si>
    <t>Auditorías Realizadas</t>
  </si>
  <si>
    <t>Número de revisiones realizadas respecto de las programadas</t>
  </si>
  <si>
    <t>Revisiones Realizadas</t>
  </si>
  <si>
    <t>Número de observaciones recurrentes mediante la aplicación de medidas preventivas y pruebas de cumplimiento</t>
  </si>
  <si>
    <t>Observaciones</t>
  </si>
  <si>
    <t>Número de revisiones mensuales y trimestrales realizadas respecto del año anterior</t>
  </si>
  <si>
    <t>Número actos de entrega recepción intermedia realizados en tiempo y forma</t>
  </si>
  <si>
    <t>Actos entrega recepción</t>
  </si>
  <si>
    <t>Número de observaciones no solventadas</t>
  </si>
  <si>
    <t>Observaciones no solventadas</t>
  </si>
  <si>
    <t>Número de obras recepcionadas en tiempo y forma</t>
  </si>
  <si>
    <t>Obras recepcionadas</t>
  </si>
  <si>
    <t>Atención de Denuncias por Presuntas Faltas Administrativas</t>
  </si>
  <si>
    <t>Índice de ciudadanos y/o autoridades atendidos</t>
  </si>
  <si>
    <t>Ciudadanos y/o autoridades atendidos</t>
  </si>
  <si>
    <t>Dirección de Denuncias y Situación Patrimonial</t>
  </si>
  <si>
    <t>Porcentaje de ciudadanos y/o autoridades atendidos</t>
  </si>
  <si>
    <t>Porcentaje de atenciones a denuncias realizadas</t>
  </si>
  <si>
    <t>Número de Denuncias Atendidas</t>
  </si>
  <si>
    <t>Número de ciudadanos y/o autoridades asesorados</t>
  </si>
  <si>
    <t>Personas Asesoradas</t>
  </si>
  <si>
    <t>Número de denuncias recibidas</t>
  </si>
  <si>
    <t>Denuncias Recibidas</t>
  </si>
  <si>
    <t>Número de expedientes integrados</t>
  </si>
  <si>
    <t>Expedientes Integrados</t>
  </si>
  <si>
    <t>Número de Servidoras Públicas, Servidores, Ciudadanas y Ciudadanos Capacitados</t>
  </si>
  <si>
    <t>Personas Capacitadas</t>
  </si>
  <si>
    <t>Situación Patrimonial de los Servidores Públicos</t>
  </si>
  <si>
    <t>Índice de servidores públicos que presentaron declaraciones de situación patrimonial y de intereses</t>
  </si>
  <si>
    <t>Índice de servidores públicos</t>
  </si>
  <si>
    <t>Porcentaje de declaraciones publicadas</t>
  </si>
  <si>
    <t>Declaraciones Publicadas</t>
  </si>
  <si>
    <t>Porcentaje de Servidores Públicos Cumplidos</t>
  </si>
  <si>
    <t>Servidores Públicos</t>
  </si>
  <si>
    <t>Porcentaje de declaraciones publicadas de servidores públicos cumplidos</t>
  </si>
  <si>
    <t>Número de declaraciones publicadas</t>
  </si>
  <si>
    <t>Número de pláticas informativas, carteles, invitaciones, circulares, recordatorios, oficios y banners elaborados</t>
  </si>
  <si>
    <t>Difusiones a Servidores Públicos</t>
  </si>
  <si>
    <t>Número de mejoras o actualizaciones realizadas</t>
  </si>
  <si>
    <t>Mejoras o actualizaciones realizadas</t>
  </si>
  <si>
    <t>Número de capacitaciones o actualizaciones realizadas</t>
  </si>
  <si>
    <t>Capacitaciones o Actualizaciones realizadas</t>
  </si>
  <si>
    <t>Número de leyes publicadas en tiempo y forma para el conocimiento de la ciudadanía</t>
  </si>
  <si>
    <t>Leyes Publicadas</t>
  </si>
  <si>
    <t>Número de disposiciones cumplidas en tiempo y forma para el conocimiento de la ciudadanía</t>
  </si>
  <si>
    <t>Disposiciones Cumplidas</t>
  </si>
  <si>
    <t>Conservación, Ampliación y Mantenimiento del Alcance del Sistema de Gestión de la Calidad ISO 9001 de la Presidencia Municipal de Pachuca de Soto, Hgo.</t>
  </si>
  <si>
    <t>Índice de satisfacción en los trámites y servicios de la Presidencia Municipal de Pachuca de Soto, a través de 27 procesos certificados</t>
  </si>
  <si>
    <t>Índice de satisfacción</t>
  </si>
  <si>
    <t>Dirección de Gestión de la Calidad</t>
  </si>
  <si>
    <t>Porcentaje de solventaciones en hallazgos detectados en auditorías internas y externas del Sistema de Gestión de la Calidad</t>
  </si>
  <si>
    <t>Porcentaje</t>
  </si>
  <si>
    <t>Porcentaje de avance del Informe de auditoría interna y externa, de conformidad del Sistema de Gestión de la Calidad</t>
  </si>
  <si>
    <t>Solventación de hallazgos</t>
  </si>
  <si>
    <t>Número de actividades ejecutadas contra programadas mensualmente
determinadas en el Plan Anual del Sistema de Gestión de la Calidad</t>
  </si>
  <si>
    <t>Porcentaje de cumplimiento</t>
  </si>
  <si>
    <t>Transparencia y Acceso a la Información Pública y Protección de Datos Personales</t>
  </si>
  <si>
    <t>Índice de demandas ciudadanas respecto a la información pública</t>
  </si>
  <si>
    <t>Índice de demandas</t>
  </si>
  <si>
    <t>Dirección de Transparencia e Información Pública Gubernamental</t>
  </si>
  <si>
    <t>Tasa de respuesta oportuna a los requerimientos de los ciudadanos en materia de transparencia y acceso a la Información pública</t>
  </si>
  <si>
    <t>Porcentaje de actualizaciones a las 57 fracciones de información pública que estipula la Ley Transparencia y Acceso a la Información Pública del Estado de Hidalgo de manera trimestral</t>
  </si>
  <si>
    <t>Actualización de información de las unidades administrativas que integran la administración pública municipal</t>
  </si>
  <si>
    <t>Porcentaje de informes mensuales validados por el órgano garante (Instituto de Transparencia, Acceso a la Información Pública Gubernamental de Hidalgo) respecto a la atención de solicitudes de acceso a la información pública y datos personales con respuesta oportuna efectuadas</t>
  </si>
  <si>
    <t>Informes mensuales validados por el órgano garante (Instituto de Transparencia, Acceso a la Información Pública Gubernamental de Hidalgo) y relación interna de solicitudes</t>
  </si>
  <si>
    <t>Número de actas de sesión del comité de transparencia</t>
  </si>
  <si>
    <t>Actas de sesiones celebradas, en físico y por medio de la Plataforma Nacional de Transparencia</t>
  </si>
  <si>
    <t>Número de datos incorporados en la página de internet</t>
  </si>
  <si>
    <t>Datos en página de Internet</t>
  </si>
  <si>
    <t>Número de requerimientos contestados</t>
  </si>
  <si>
    <t>Requerimientos Contestados</t>
  </si>
  <si>
    <t>Número de respuestas correctas y oportunas</t>
  </si>
  <si>
    <t>Respuestas en enlaces de transparencia</t>
  </si>
  <si>
    <t>Número de sesiones celebradas por el comité de transparencia</t>
  </si>
  <si>
    <t>Sesiones Realizadas</t>
  </si>
  <si>
    <t>Número de actas elaboradas de las sesiones extraordinarias, para dar cumplimiento a las obligaciones</t>
  </si>
  <si>
    <t>Actas Elaboradas de las Sesiones Extraordinarias</t>
  </si>
  <si>
    <t>Substanciación y resolución de responsabilidades administrativas de los servidores públicos</t>
  </si>
  <si>
    <t>Índice de resoluciones emitidas en ejercicio fiscal</t>
  </si>
  <si>
    <t>Índice de resoluciones</t>
  </si>
  <si>
    <t>Dirección de Responsabilidades</t>
  </si>
  <si>
    <t>Porcentaje de procedimientos de presunta responsabilidad administrativa sustanciados en comparación con los iniciados en el ejercicio fiscal</t>
  </si>
  <si>
    <t>Procedimientos sustanciados</t>
  </si>
  <si>
    <t>Porcentaje de procedimientos de presunta responsabilidad administrativa iniciados</t>
  </si>
  <si>
    <t>Procedimiento de responsabilidad administrativa iniciados</t>
  </si>
  <si>
    <t>Número de promociones realizadas</t>
  </si>
  <si>
    <t>Promociones Realizadas</t>
  </si>
  <si>
    <t>Número de procedimientos de responsabilidad administrativa sustanciados</t>
  </si>
  <si>
    <t>Procedimientos de Responsabilidad Administrativa Sustanciados</t>
  </si>
  <si>
    <t>5 Pachuca con Infraestructura y Servicios de Calidad</t>
  </si>
  <si>
    <t>Coordinación de la Secretaría de Servicios Públicos Municipales</t>
  </si>
  <si>
    <t>Índice de personas con acceso a servicios públicos</t>
  </si>
  <si>
    <t>Personas con acceso a servicios públicos</t>
  </si>
  <si>
    <t>Secretaría de Servicios Públicos Municipales</t>
  </si>
  <si>
    <t>Tasa de planes y programas mensuales de actividades generales realizados</t>
  </si>
  <si>
    <t>Planes, programas y actividades</t>
  </si>
  <si>
    <t>Porcentaje de programas de actividades generales realizados</t>
  </si>
  <si>
    <t>Programa de Actividades</t>
  </si>
  <si>
    <t>Porcentaje de formatos de planeación para una mejor distribución de recursos realizados</t>
  </si>
  <si>
    <t>Formatos de planeación</t>
  </si>
  <si>
    <t>Número de planes realizados</t>
  </si>
  <si>
    <t>Planes realizados</t>
  </si>
  <si>
    <t>Número de programas realizados</t>
  </si>
  <si>
    <t>Programas realizados</t>
  </si>
  <si>
    <t>Número de planes para eficientar la distribución de recursos económicos realizados</t>
  </si>
  <si>
    <t>Planes para eficientar la distribución de recursos económicos</t>
  </si>
  <si>
    <t>Número de planes para eficientar la distribución de recursos humanos realizados</t>
  </si>
  <si>
    <t>Planes para eficientar la distribución de recursos humanos</t>
  </si>
  <si>
    <t>Mejoramiento de la imagen urbana en los espacios públicos, fuentes y monumentos de la ciudad</t>
  </si>
  <si>
    <t>Índice de espacios públicos atendidos</t>
  </si>
  <si>
    <t>Tasa de espacios públicos atendidos</t>
  </si>
  <si>
    <t>Tasa de espacios públicos atendidos.</t>
  </si>
  <si>
    <t>Porcentaje de espacios públicos atendidos</t>
  </si>
  <si>
    <t>Número de espacios públicos, fuentes y monumentos con rehabilitación y mantenimiento</t>
  </si>
  <si>
    <t>Porcentaje de diseño, construcción y montaje de exposiciones</t>
  </si>
  <si>
    <t>Número de exposiciones y mobiliario urbano diseñados, elaborados y montados que beneficien a la ciudadanía</t>
  </si>
  <si>
    <t>Número de monumentos atendidos</t>
  </si>
  <si>
    <t>Monumentos atendidos</t>
  </si>
  <si>
    <t>Número de rehabilitación de espacios públicos</t>
  </si>
  <si>
    <t>Número de rehabilitación de espacios públicos.</t>
  </si>
  <si>
    <t>Número de mantenimiento de juegos atendidos</t>
  </si>
  <si>
    <t>Mantenimiento de juegos atendidos</t>
  </si>
  <si>
    <t>Número de rehabilitación de monumentos</t>
  </si>
  <si>
    <t>Rehabilitación de monumentos</t>
  </si>
  <si>
    <t>Número de rehabilitación de fuentes</t>
  </si>
  <si>
    <t>Rehabilitación de fuentes</t>
  </si>
  <si>
    <t>Número de grafitis borrados</t>
  </si>
  <si>
    <t>Número de grafitis borrados.</t>
  </si>
  <si>
    <t>Mantenimiento y Control de Mercados Municipales, Plazas y Festividades Públicas</t>
  </si>
  <si>
    <t>Índice de mejoramiento en el control y funcionamiento de los mercados públicos municipales, plazas y festividades públicas</t>
  </si>
  <si>
    <t>Comerciantes y concesionarios regularizados</t>
  </si>
  <si>
    <t>Dirección de Mercados, Comercio y Abasto</t>
  </si>
  <si>
    <t>Tasa de concesionarios y comerciantes regulados</t>
  </si>
  <si>
    <t>Porcentaje de supervisiones diarias realizadas en espacios públicos</t>
  </si>
  <si>
    <t>Supervisiones diarias</t>
  </si>
  <si>
    <t>Porcentaje de supervisiones a festividades públicas</t>
  </si>
  <si>
    <t>Supervisión a festividades públicas realizadas</t>
  </si>
  <si>
    <t>Porcentaje de verificaciones de funcionamiento en mercados públicos municipales</t>
  </si>
  <si>
    <t>Supervisiones en mercados públicos municipales</t>
  </si>
  <si>
    <t>Porcentaje de talleres impartidos en los mercados, tianguis y comercio semifijo para aprender la separación de residuos</t>
  </si>
  <si>
    <t>Talleres impartidos en mercados públicos municipales</t>
  </si>
  <si>
    <t>Porcentaje de supervisiones diarias realizadas</t>
  </si>
  <si>
    <t>Supervisiones diarias realizadas</t>
  </si>
  <si>
    <t>Número de ordenamientos y vigilancia en mercados públicos municipales</t>
  </si>
  <si>
    <t>Ordenamientos y vigilancia en mercados públicos municipales</t>
  </si>
  <si>
    <t>Número de mecanismos realizados</t>
  </si>
  <si>
    <t>Mecanismos realizados</t>
  </si>
  <si>
    <t>Ordenamientos y vigilancia</t>
  </si>
  <si>
    <t>Talleres</t>
  </si>
  <si>
    <t>Mantenimiento de Alumbrado Público</t>
  </si>
  <si>
    <t>Índice de número de luminarias atendidas</t>
  </si>
  <si>
    <t>Luminarias atendidas</t>
  </si>
  <si>
    <t>Dirección de Alumbrado Público</t>
  </si>
  <si>
    <t>Tasa de luminarias en servicio</t>
  </si>
  <si>
    <t>Luminarias en servicio</t>
  </si>
  <si>
    <t>Porcentaje de peticiones concluidas respecto a las recibidas</t>
  </si>
  <si>
    <t>Orden de servicio</t>
  </si>
  <si>
    <t>Porcentaje de luminarias instaladas</t>
  </si>
  <si>
    <t>Luminarias instaladas</t>
  </si>
  <si>
    <t>Número de luminarias reparadas</t>
  </si>
  <si>
    <t>Luminarias reparadas</t>
  </si>
  <si>
    <t>Número de adecuaciones realizadas</t>
  </si>
  <si>
    <t>Adecuaciones realizadas</t>
  </si>
  <si>
    <t>Número de valorizaciones de luminarias realizadas</t>
  </si>
  <si>
    <t>Valoraciones de luminarias realizadas</t>
  </si>
  <si>
    <t>Número de luminarias instaladas</t>
  </si>
  <si>
    <t>Aseo público de calles, avenidas y lugares públicos</t>
  </si>
  <si>
    <t>Índice de satisfacción ciudadana respecto al servicio de aseo público en calles, avenidas y espacios públicos de la ciudad</t>
  </si>
  <si>
    <t>Encuestas</t>
  </si>
  <si>
    <t>Dirección de Sanidad Municipal</t>
  </si>
  <si>
    <t>Tasa de programación del servicio de aseo público en calles, avenidas y espacios públicos de la ciudad</t>
  </si>
  <si>
    <t>Tareas realizadas</t>
  </si>
  <si>
    <t>Porcentaje de rutas de Barrido Manual realizadas de manera efectiva de acuerdo a la logística establecida</t>
  </si>
  <si>
    <t>Número de rutas de barrido manual atendidas en tiempo y forma</t>
  </si>
  <si>
    <t>Porcentaje de cuadrillas de limpieza realizadas de acuerdo a la programación mensual</t>
  </si>
  <si>
    <t>Cuadrillas de limpieza atendidas efectivamente</t>
  </si>
  <si>
    <t>Porcentaje de papeleras manuales vaciadas efectivamente</t>
  </si>
  <si>
    <t>Papeleras manuales atendidas efectivamente</t>
  </si>
  <si>
    <t>Número de rutas atendidas en tiempo y forma</t>
  </si>
  <si>
    <t>Rutas atendidas en tiempo y forma</t>
  </si>
  <si>
    <t>Número de cuadrillas de limpieza atendidas</t>
  </si>
  <si>
    <t>Cuadrillas de limpieza atendidas</t>
  </si>
  <si>
    <t>Número de papeleras manuales atendidas</t>
  </si>
  <si>
    <t>Papeleras manuales atendidas</t>
  </si>
  <si>
    <t>Recolección, traslado y Disposición Final de Residuos Sólidos Urbanos</t>
  </si>
  <si>
    <t>Índice de satisfacción de los Usuarios del servicio de Recolección, Traslado y Tratamiento de Residuos Sólidos Urbanos en modalidades doméstica y comercial</t>
  </si>
  <si>
    <t>Satisfacción usuarios del servicio de recolección</t>
  </si>
  <si>
    <t>Tasa de cumplimiento de las rutas domésticas y comerciales de Recolección Traslado y Disposición final de los Residuos Sólidos Urbanos en días y turnos establecidos</t>
  </si>
  <si>
    <t>Cumplimiento de rutas</t>
  </si>
  <si>
    <t>Porcentaje de rutas realizadas de manera efectiva en los días y turnos asignados de acuerdo a la logística correspondiente</t>
  </si>
  <si>
    <t>Número de rutas de recolección domiciliada atendidas en tiempo y forma</t>
  </si>
  <si>
    <t>Porcentaje de rutas realizadas en los días y turnos solicitados por los usuarios del Servicio de recolección comercial de Residuos Sólidos Urbanos de acuerdo a la logística correspondiente</t>
  </si>
  <si>
    <t>Número de Toneladas Mensuales de Residuos Sólidos Urbanos Recolectadas y dispuestas</t>
  </si>
  <si>
    <t>Porcentaje de toneladas de Residuos Sólidos Urbanos recolectadas y dispuestas en el relleno sanitario</t>
  </si>
  <si>
    <t>Promedio de toneladas diarias de residuos sólidos urbanos</t>
  </si>
  <si>
    <t>Número de Rutas atendidas y completadas en tiempo y forma los días y turnos establecidos</t>
  </si>
  <si>
    <t>Rutas atendidas y completadas en tiempo y forma los días y turnos establecidos</t>
  </si>
  <si>
    <t>Número de Toneladas de Residuos Sólidos Urbanos recolectadas y dispuestas</t>
  </si>
  <si>
    <t>Toneladas de Residuos Sólidos Urbanos recolectadas y dispuestas</t>
  </si>
  <si>
    <t>Mantenimiento y rehabilitación de áreas verdes, parques y jardines</t>
  </si>
  <si>
    <t>Índice de mejora en espacios públicos (áreas verdes, parques y jardines)</t>
  </si>
  <si>
    <t>Mejora de espacios públicos</t>
  </si>
  <si>
    <t>Tasa de áreas verdes, parques y jardines en buen estado</t>
  </si>
  <si>
    <t>Áreas verdes, parques y jardines en buen estado</t>
  </si>
  <si>
    <t>Porcentaje de parques, jardines, áreas verdes, camellones, remates visuales con mantenimiento y rehabilitación realizados.</t>
  </si>
  <si>
    <t>Áreas Verdes, Parques y Jardines rehabilitados</t>
  </si>
  <si>
    <t>Porcentaje de reparaciones de juegos infantiles y mobiliario urbano realizado.</t>
  </si>
  <si>
    <t>Juegos infantiles y mobiliario urbano con mantenimiento y reparación</t>
  </si>
  <si>
    <t>Porcentaje de poda y derribo de árboles efectuados.</t>
  </si>
  <si>
    <t>Poda y derribo de árboles</t>
  </si>
  <si>
    <t>Porcentaje de rehabilitación y mantenimiento a ciclovías realizados.</t>
  </si>
  <si>
    <t>Kilómetros lineales de limpieza y deshierbe en ciclovías</t>
  </si>
  <si>
    <t>Porcentaje de construcción y conservación de viveros realizados.</t>
  </si>
  <si>
    <t>Viveros producidos</t>
  </si>
  <si>
    <t>Porcentaje de reforestación de áreas verdes, parques y jardines realizados</t>
  </si>
  <si>
    <t>Árboles y plantas sembrados</t>
  </si>
  <si>
    <t>Número total de parques, jardines, áreas verdes, camellones y remates visuales con mantenimiento y rehabilitación realizados</t>
  </si>
  <si>
    <t>Parques, jardines, áreas verdes, camellones y remates visuales con mantenimiento y rehabilitación realizados</t>
  </si>
  <si>
    <t>Número total de metros cuadrados de limpieza y deshierbe realizados</t>
  </si>
  <si>
    <t>Metros cuadrados de limpieza y deshierbe realizados</t>
  </si>
  <si>
    <t>Número total de juegos infantiles y mobiliario urbano reparado</t>
  </si>
  <si>
    <t>Juegos infantiles y mobiliario urbano reparado</t>
  </si>
  <si>
    <t>5 Pachuca con Infraestructura y Servicios de Calida</t>
  </si>
  <si>
    <t>Número total de juegos adaptados y reparados</t>
  </si>
  <si>
    <t>Juegos adaptados y reparados</t>
  </si>
  <si>
    <t>Número de juegos adquiridos</t>
  </si>
  <si>
    <t>Juegos adquiridos</t>
  </si>
  <si>
    <t>Número total de poda y derribo de árboles efectuados</t>
  </si>
  <si>
    <t>Poda y derribo de árboles efectuados</t>
  </si>
  <si>
    <t>Número total de metros cuadrados de limpieza y deshierbe en ciclovías realizados.</t>
  </si>
  <si>
    <t>Metros cuadrados de limpieza y deshierbe en ciclovías realizados</t>
  </si>
  <si>
    <t>Número de plantas y arbolado producidos</t>
  </si>
  <si>
    <t>Plantas y arbolado producidos</t>
  </si>
  <si>
    <t>Número total de reforestación de áreas verdes, parques y jardines realizados</t>
  </si>
  <si>
    <t>Reforestación de áreas verdes, parques y jardines realizados</t>
  </si>
  <si>
    <t>Equipamiento y rehabilitación para la óptima operación del Panteón Municipal</t>
  </si>
  <si>
    <t>Índice de espacios disponibles y ocupados para depósito de restos humanos</t>
  </si>
  <si>
    <t>Espacios disponibles</t>
  </si>
  <si>
    <t>Tasa de satisfacción de la ciudadanía</t>
  </si>
  <si>
    <t>Número de Personas Satisfechas</t>
  </si>
  <si>
    <t>Porcentaje de servicios funerarios realizados</t>
  </si>
  <si>
    <t>Servicio funerario</t>
  </si>
  <si>
    <t>Porcentaje de servicios de mantenimiento realizados</t>
  </si>
  <si>
    <t>Servicio de mantenimiento</t>
  </si>
  <si>
    <t>Número de nuevos espacios generados</t>
  </si>
  <si>
    <t>Nuevos espacios generados</t>
  </si>
  <si>
    <t>Número de fosas con cambio de temporalidad de 7 años a perpetuidad</t>
  </si>
  <si>
    <t>Fosas con cambio de temporalidad de 7 años a perpetuidad</t>
  </si>
  <si>
    <t>Número de fosas recuperadas en estado de abandono</t>
  </si>
  <si>
    <t>Fosas recuperadas en estado de abandono</t>
  </si>
  <si>
    <t>Número de trabajadores con equipo necesario para servicios</t>
  </si>
  <si>
    <t>Trabajadores con equipo necesario para servicios</t>
  </si>
  <si>
    <t>Número de personas a la que se les brinda información sobre documentación necesaria</t>
  </si>
  <si>
    <t>Personas a la que se les brinda información sobre documentación necesaria</t>
  </si>
  <si>
    <t>Porcentaje de avance de estudio de factibilidad</t>
  </si>
  <si>
    <t>Avance de estudio de factibilidad</t>
  </si>
  <si>
    <t>Número de losas trasladadas</t>
  </si>
  <si>
    <t>Losas trasladadas</t>
  </si>
  <si>
    <t>Número de equipo adquirido</t>
  </si>
  <si>
    <t>Equipo adquirido</t>
  </si>
  <si>
    <t>Número de instalaciones rehabilitadas</t>
  </si>
  <si>
    <t>Instalaciones rehabilitadas</t>
  </si>
  <si>
    <t>Número de equipo de cómputo adquirido</t>
  </si>
  <si>
    <t>Equipo de cómputo adquirido</t>
  </si>
  <si>
    <t>Número de calles y avenidas rehabilitadas</t>
  </si>
  <si>
    <t>Calles y avenidas rehabilitadas</t>
  </si>
  <si>
    <t>Calidad, atención y de procesos y productos en el Rastro Municipal</t>
  </si>
  <si>
    <t>Índice de satisfacción de la ciudadanía</t>
  </si>
  <si>
    <t>Tasa de avance de las disposiciones sanitarias y ambientales aplicadas</t>
  </si>
  <si>
    <t>Disposiciones sanitarias y ambientales</t>
  </si>
  <si>
    <t>Porcentaje de inspecciones administrativas realizadas a las disposiciones normativas ambientales y sanitarias aplicables al Rastro.</t>
  </si>
  <si>
    <t>Aprobación de trámites</t>
  </si>
  <si>
    <t>Porcentaje de inspecciones y verificaciones realizadas a los productos cárnicos.</t>
  </si>
  <si>
    <t>Inspecciones realizadas en cabezas de ganado</t>
  </si>
  <si>
    <t>Número de disposiciones normativas ambientales y sanitarias aplicables</t>
  </si>
  <si>
    <t>Disposiciones normativas ambientales y sanitarias aplicables</t>
  </si>
  <si>
    <t>Número de satisfacción de los trabajadores al servicio del Rastro</t>
  </si>
  <si>
    <t>Satisfacción de los trabajadores al servicio del Rastro</t>
  </si>
  <si>
    <t>Número de establecimientos inspeccionados</t>
  </si>
  <si>
    <t>Establecimientos inspeccionados</t>
  </si>
  <si>
    <t>Regulación y Conducción de la Política Interior del Municipio</t>
  </si>
  <si>
    <t>El índice de fortalecimiento de los procesos operativo</t>
  </si>
  <si>
    <t>Fortalecimiento de los procesos operativos</t>
  </si>
  <si>
    <t>SecretarÍa General Municipal</t>
  </si>
  <si>
    <t>Tasa de peticiones atendidas</t>
  </si>
  <si>
    <t>Gestiones sociales realizadas</t>
  </si>
  <si>
    <t>Porcentaje de gestiones sociales realizadas</t>
  </si>
  <si>
    <t>Audiencias atendidas</t>
  </si>
  <si>
    <t>Porcentaje de audiencias atendidas</t>
  </si>
  <si>
    <t>Audiencias Atendidas</t>
  </si>
  <si>
    <t>Número de audiencias realizadas</t>
  </si>
  <si>
    <t>Audiencias realizadas</t>
  </si>
  <si>
    <t>Número de constancias elaboradas</t>
  </si>
  <si>
    <t>Constancias elaboradas</t>
  </si>
  <si>
    <t>Número de cédulas aplicadas</t>
  </si>
  <si>
    <t>Cédulas de vulnerabilidad</t>
  </si>
  <si>
    <t>Número de apoyos en especie otorgados</t>
  </si>
  <si>
    <t>Apoyos en especie otorgados</t>
  </si>
  <si>
    <t>Número de solicitudes atendidas</t>
  </si>
  <si>
    <t>Número de programaciones de audiencias con perspectiva de género realizadas</t>
  </si>
  <si>
    <t>Programaciones de audiencias con perspectiva de género</t>
  </si>
  <si>
    <t>Número de programaciones de audiencias realizadas</t>
  </si>
  <si>
    <t>Programación de audiencias realizadas</t>
  </si>
  <si>
    <t>Número de atenciones realizadas</t>
  </si>
  <si>
    <t>Atenciones realizadas</t>
  </si>
  <si>
    <t>Atención en Materia de Asesoría Legal</t>
  </si>
  <si>
    <t>Índice de asesorías legales brindadas.</t>
  </si>
  <si>
    <t>Asesorias Legales</t>
  </si>
  <si>
    <t>Dirección General Jurídica</t>
  </si>
  <si>
    <t>Tasa de documentos supervisados</t>
  </si>
  <si>
    <t>Documentos Supervisados</t>
  </si>
  <si>
    <t>Porcentaje de acciones realizadas</t>
  </si>
  <si>
    <t>Porcentaje de Servicios de la Oficina Conciliadora brindados</t>
  </si>
  <si>
    <t>Servicios de la oficina conciliadora</t>
  </si>
  <si>
    <t>Número de certificaciones elaboradas</t>
  </si>
  <si>
    <t>Certificaciones elaboradas</t>
  </si>
  <si>
    <t>Número del procedimiento de sentenciados realizado</t>
  </si>
  <si>
    <t>Procedimientos de sentenciados</t>
  </si>
  <si>
    <t>Número de protocolos notariales y expedientes de fraccionamientos revisados</t>
  </si>
  <si>
    <t>Protocolos notariales y expedientes de fraccionamientos</t>
  </si>
  <si>
    <t>Número de asesoría en diligencias del comité de obra y adquisiciones, realizados</t>
  </si>
  <si>
    <t>Asesorías en diligencias del Comité de Obra y Adquisiciones</t>
  </si>
  <si>
    <t>Número de Asistencia jurídica al Ayuntamiento (reglamentos) realizada</t>
  </si>
  <si>
    <t>Asistencias Jurídicas al Ayuntamiento</t>
  </si>
  <si>
    <t>Número de Asistencia jurídica a Secretarías y Presidencia Municipal efectuadas</t>
  </si>
  <si>
    <t>Asistencia Jurídica a Secretarías y Presidencia Municipal</t>
  </si>
  <si>
    <t>Número de Autorización de actos jurídicos y administrativos revisados</t>
  </si>
  <si>
    <t>Autorizaciones de actos jurídicos y administrativos</t>
  </si>
  <si>
    <t>Número de proyectos revisados</t>
  </si>
  <si>
    <t>Proyectos revisados</t>
  </si>
  <si>
    <t>Número de Sesiones y diligencias de la Comisión de Honor y Justicia realizadas</t>
  </si>
  <si>
    <t>Sesiones y Diligencias de la Comisión de Honor y Justicia</t>
  </si>
  <si>
    <t>Número de pláticas impartidas</t>
  </si>
  <si>
    <t>Pláticas impartidas</t>
  </si>
  <si>
    <t>Número de actas informativas generadas</t>
  </si>
  <si>
    <t>Actas informativas Generadas</t>
  </si>
  <si>
    <t>Número de oficios de referencia elaborados</t>
  </si>
  <si>
    <t>Oficios de referencia Elaborados</t>
  </si>
  <si>
    <t>Número de constancias de conciliación elaboradas</t>
  </si>
  <si>
    <t>Constancias de conciliación elaboradas</t>
  </si>
  <si>
    <t>Número de órdenes de protección elaboradas</t>
  </si>
  <si>
    <t>Órdenes de protección elaboradas</t>
  </si>
  <si>
    <t>Número de asesorías brindadas</t>
  </si>
  <si>
    <t>Asesorías brindadas</t>
  </si>
  <si>
    <t>Atención de Asuntos de lo Contencioso</t>
  </si>
  <si>
    <t>Índice de resoluciones positivas en asuntos de defensa de interés del municipio</t>
  </si>
  <si>
    <t>Resoluciones positivas</t>
  </si>
  <si>
    <t>Dirección de lo Contencioso</t>
  </si>
  <si>
    <t>Tasa de juicios atendidos oportunamente</t>
  </si>
  <si>
    <t>Juicios Atendidos Oportunamente</t>
  </si>
  <si>
    <t>Porcentaje de seguimiento oportuno a los juicios</t>
  </si>
  <si>
    <t>Seguimiento oportuno</t>
  </si>
  <si>
    <t>Porcentaje de asesorías otorgadas</t>
  </si>
  <si>
    <t>Número elaboración de proyectos de contestación y seguimiento a quejas de derechos humanos</t>
  </si>
  <si>
    <t>Proyectos de contestación y seguimiento a quejas de derechos humanos</t>
  </si>
  <si>
    <t>Número de proyectos de alegatos atendidos</t>
  </si>
  <si>
    <t>Proyectos de alegatos atendidos</t>
  </si>
  <si>
    <t>Numero de elaboración de proyectos de contestación y demandas</t>
  </si>
  <si>
    <t>Proyectos de contestación a demandas</t>
  </si>
  <si>
    <t>Número de desahogo de diligencias atendidas</t>
  </si>
  <si>
    <t>Diligencias atendidas</t>
  </si>
  <si>
    <t>Número de proyectos de informes previos y justificados</t>
  </si>
  <si>
    <t>Proyectos de informes previos y justificados</t>
  </si>
  <si>
    <t>Número de seguimientos</t>
  </si>
  <si>
    <t>Seguimientos Administrativos</t>
  </si>
  <si>
    <t>Número de contratos y convenios revisados</t>
  </si>
  <si>
    <t>Contratos y convenios revisados</t>
  </si>
  <si>
    <t>Número de asesoramientos</t>
  </si>
  <si>
    <t>Asesoramientos Jurídicos</t>
  </si>
  <si>
    <t>Inscripción y Expedición de los Actos Jurídicos del Registro del estado Familiar</t>
  </si>
  <si>
    <t>Índice de políticas instrumentadas</t>
  </si>
  <si>
    <t>Políticas Instrumentadas</t>
  </si>
  <si>
    <t>Oficialía del Registro del Estado Familiar</t>
  </si>
  <si>
    <t>Tasa de eficiencia en los servicios de inscripción y expedición</t>
  </si>
  <si>
    <t>Servicios de inscripción y expedición solicitados</t>
  </si>
  <si>
    <t>Porcentaje de inscripciones realizadas</t>
  </si>
  <si>
    <t>Inscripciones realizadas</t>
  </si>
  <si>
    <t>Porcentaje de expediciones realizadas</t>
  </si>
  <si>
    <t>Expediciones realizadas</t>
  </si>
  <si>
    <t>Porcentaje de servicios en campañas realizadas</t>
  </si>
  <si>
    <t>Servicios de Campañas realizadas</t>
  </si>
  <si>
    <t>Número de inscripción de nacimientos realizados</t>
  </si>
  <si>
    <t>Inscripciones de nacimientos realizados</t>
  </si>
  <si>
    <t>Número de inscripción de reconocimientos realizados</t>
  </si>
  <si>
    <t>Inscripciones de reconocimientos realizados</t>
  </si>
  <si>
    <t>Número de inscripción de matrimonios realizados</t>
  </si>
  <si>
    <t>Inscripciones de matrimonios realizados</t>
  </si>
  <si>
    <t>Número de inscripción de sentencias realizadas</t>
  </si>
  <si>
    <t>Inscripciones de sentencias realizadas</t>
  </si>
  <si>
    <t>Número de inscripción de defunciones realizadas</t>
  </si>
  <si>
    <t>Inscripciones de defunciones realizadas</t>
  </si>
  <si>
    <t>Promociones realizadas</t>
  </si>
  <si>
    <t>Número de expedición de certificaciones realizadas</t>
  </si>
  <si>
    <t>Expediciones de certificaciones realizadas</t>
  </si>
  <si>
    <t>Número de expedición de búsquedas realizadas</t>
  </si>
  <si>
    <t>Expediciones de búsquedas realizadas</t>
  </si>
  <si>
    <t>Número de servicios de matrimonios en campañas realizadas</t>
  </si>
  <si>
    <t>Servicios de matrimonios en campañas realizadas</t>
  </si>
  <si>
    <t>Fortalecimiento de la Gobernabilidad y el Tejido Social del Municipio</t>
  </si>
  <si>
    <t>Índice de canales de comunicación generados</t>
  </si>
  <si>
    <t>Canales de Comunicación Generados</t>
  </si>
  <si>
    <t>Dirección de Desarrollo Político</t>
  </si>
  <si>
    <t>Tasa de acciones realizadas</t>
  </si>
  <si>
    <t>Asesorías proporcionadas</t>
  </si>
  <si>
    <t>Porcentaje de asesorías proporcionadas</t>
  </si>
  <si>
    <t>Recorridos efectuados</t>
  </si>
  <si>
    <t>Porcentaje de recorridos efectuados</t>
  </si>
  <si>
    <t>Registro y actualización de las organizaciones existentes en el Municipio</t>
  </si>
  <si>
    <t>Porcentaje de actualización de las organizaciones existentes</t>
  </si>
  <si>
    <t>Mesas de distensión interinstitucionales realizadas</t>
  </si>
  <si>
    <t>Porcentaje de mesas de distensión interinstitucionales realizadas</t>
  </si>
  <si>
    <t>Permisos de eventos en espacios públicos otorgados</t>
  </si>
  <si>
    <t>Porcentaje de permisos para eventos en espacios públicos otorgados</t>
  </si>
  <si>
    <t>Número de gestiones atendidas</t>
  </si>
  <si>
    <t>Gestiones Realizadas</t>
  </si>
  <si>
    <t>Número de problemáticas atendidas</t>
  </si>
  <si>
    <t>Problemáticas atendidas</t>
  </si>
  <si>
    <t>Número de actualización de las organizaciones existentes en el municipio</t>
  </si>
  <si>
    <t>Actualizaciones de Organizaciones</t>
  </si>
  <si>
    <t>Número de mesas de distensión interinstitucionales realizadas</t>
  </si>
  <si>
    <t>Número de eventos públicos solicitados</t>
  </si>
  <si>
    <t>Eventos público</t>
  </si>
  <si>
    <t>Programa Municipal de Participación Social</t>
  </si>
  <si>
    <t>Canales de comunicación Generados</t>
  </si>
  <si>
    <t>Dirección de Vinculación Ciudadana</t>
  </si>
  <si>
    <t>Tasa de vinculaciones realizadas</t>
  </si>
  <si>
    <t>Vinculaciones Realizadas</t>
  </si>
  <si>
    <t>Porcentaje de audiencias realizadas</t>
  </si>
  <si>
    <t>Porcentaje de gestión y vinculación realizada</t>
  </si>
  <si>
    <t>Gestión y vinculación realizada</t>
  </si>
  <si>
    <t>Porcentaje del registro actualizado</t>
  </si>
  <si>
    <t>Registro Actualizado</t>
  </si>
  <si>
    <t>Número de gestión y vinculación realizada</t>
  </si>
  <si>
    <t>Gestión y Vinculación Realizada</t>
  </si>
  <si>
    <t>Número de mecanismos de comunicación implementados</t>
  </si>
  <si>
    <t>Mecanismos de comunicación implementados</t>
  </si>
  <si>
    <t>Número del registro actualizado</t>
  </si>
  <si>
    <t>Registros actualizados</t>
  </si>
  <si>
    <t>Número de consejos y comités implementados</t>
  </si>
  <si>
    <t>Consejos y Comités implementados</t>
  </si>
  <si>
    <t>Regulación de Establecimientos Mercantiles</t>
  </si>
  <si>
    <t>Índice de mecanismos de control implementados</t>
  </si>
  <si>
    <t>Mecanismos de control</t>
  </si>
  <si>
    <t>Dirección de Reglamentos y Espectáculos</t>
  </si>
  <si>
    <t>Tasa de establecimientos mercantiles inspeccionados</t>
  </si>
  <si>
    <t>Establecimientos mercantiles</t>
  </si>
  <si>
    <t>Porcentaje de avisos de regularización entregados</t>
  </si>
  <si>
    <t>Avisos de regularización</t>
  </si>
  <si>
    <t>Operativos realizados</t>
  </si>
  <si>
    <t>Porcentaje de operativos realizados</t>
  </si>
  <si>
    <t>Número de avisos de regularización programados</t>
  </si>
  <si>
    <t>Avisos de regularización programados</t>
  </si>
  <si>
    <t>Número de oficios de invitación programados</t>
  </si>
  <si>
    <t>Oficios de invitación</t>
  </si>
  <si>
    <t>Número de órdenes de entrega programados</t>
  </si>
  <si>
    <t>Órdenes de entrega</t>
  </si>
  <si>
    <t>Número de operativos programados</t>
  </si>
  <si>
    <t>Operativos programados</t>
  </si>
  <si>
    <t>Número de supervisiones de detección realizadas</t>
  </si>
  <si>
    <t>Supervisiones de detección</t>
  </si>
  <si>
    <t>Gestión Integral de Riesgos y Servicios de Emergencia</t>
  </si>
  <si>
    <t>Índice de mecanismos de protección implementados</t>
  </si>
  <si>
    <t>Mecanismos de protección</t>
  </si>
  <si>
    <t>Dirección de Protección Civil, Bomberos y Gestión Integral de Riesgos</t>
  </si>
  <si>
    <t>Tasa de servicios atendidos</t>
  </si>
  <si>
    <t>Solicitudes de servicio</t>
  </si>
  <si>
    <t>Porcentaje de solicitudes de la gestión integral de riesgos atendidas</t>
  </si>
  <si>
    <t>Solicitudes de gestión integral de riesgos</t>
  </si>
  <si>
    <t>Porcentaje de servicios de emergencias atendidos</t>
  </si>
  <si>
    <t>Servicios de Emergencias Atendidos</t>
  </si>
  <si>
    <t>Porcentaje de avances de actualización del Plan de Contingencia Municipal realizado</t>
  </si>
  <si>
    <t>Actualización del Plan de Contingencia Municipal</t>
  </si>
  <si>
    <t>Número de personas que asisten a los cursos</t>
  </si>
  <si>
    <t>Asistentes a cursos</t>
  </si>
  <si>
    <t>Número de simulacros evaluados</t>
  </si>
  <si>
    <t>Simulacros evaluados</t>
  </si>
  <si>
    <t>Número de supervisiones de medidas de seguridad</t>
  </si>
  <si>
    <t>Supervisiones de medidas de seguridad</t>
  </si>
  <si>
    <t>Número de aprobaciones de programas</t>
  </si>
  <si>
    <t>Aprobaciones de programas</t>
  </si>
  <si>
    <t>Número de atenciones de servicio contra incendio</t>
  </si>
  <si>
    <t>Atenciones de servicio contra incendio</t>
  </si>
  <si>
    <t>Número de servicios de ambulancia atendidos</t>
  </si>
  <si>
    <t>Servicios de ambulancia atendidos</t>
  </si>
  <si>
    <t>Número de reportes atendidos</t>
  </si>
  <si>
    <t>Reportes atendidos</t>
  </si>
  <si>
    <t>Número de actividades realizadas</t>
  </si>
  <si>
    <t>Número de actualizaciones al plan de contingencias</t>
  </si>
  <si>
    <t>Actualizaciones al plan de contingencia Municipal</t>
  </si>
  <si>
    <t>Difusión de Información Institucional</t>
  </si>
  <si>
    <t>Índice de impacto de los canales de comunicación entre el gobierno y la ciudadanía</t>
  </si>
  <si>
    <t>Impacto en Canales de Comunicación</t>
  </si>
  <si>
    <t>Dirección de Comunicación Social</t>
  </si>
  <si>
    <t>Tasa de información brindada de forma efectiva</t>
  </si>
  <si>
    <t>Información brindada de Forma Efectiva</t>
  </si>
  <si>
    <t>Porcentaje de actos públicos cubiertos</t>
  </si>
  <si>
    <t>Actos públicos cubiertos</t>
  </si>
  <si>
    <t>Número de boletines informativos elaborados</t>
  </si>
  <si>
    <t>Boletines informativos enviados</t>
  </si>
  <si>
    <t>Porcentaje de síntesis informativas difundidas</t>
  </si>
  <si>
    <t>Síntesis Informativas</t>
  </si>
  <si>
    <t>Número de actos públicos cubiertos</t>
  </si>
  <si>
    <t>Número de la emisión de boletines informativos</t>
  </si>
  <si>
    <t>Emisión de boletines informativos</t>
  </si>
  <si>
    <t>Número de monitoreo de medios impresos</t>
  </si>
  <si>
    <t>Monitoreo de medios impresos</t>
  </si>
  <si>
    <t>Número de monitoreo de medios digitales</t>
  </si>
  <si>
    <t>Monitoreo de medios digitales</t>
  </si>
  <si>
    <t>Coordinación de la Secretaría de la Tesorería Municipal</t>
  </si>
  <si>
    <t>Índice de cumplimiento para la administración de los recursos en la Tesorería</t>
  </si>
  <si>
    <t>Cumplimiento</t>
  </si>
  <si>
    <t>Secretaría de la Tesorería Municipal</t>
  </si>
  <si>
    <t>Porcentaje de procesos realizados para la armonización contable, actualización del padrón catastral, recaudación de impuestos y ministración de recursos</t>
  </si>
  <si>
    <t>Procesos realizados</t>
  </si>
  <si>
    <t>Porcentaje de cumplimiento en la ministración de recursos</t>
  </si>
  <si>
    <t>Ministración de los recursos</t>
  </si>
  <si>
    <t>Porcentaje de cumplimiento en la elaboración de una armonización contable</t>
  </si>
  <si>
    <t>Acciones para la elaboración de una armonización contable</t>
  </si>
  <si>
    <t>Porcentaje de Actualización del Padrón Catastral</t>
  </si>
  <si>
    <t>Actualizaciones del Padrón Catastral</t>
  </si>
  <si>
    <t>Porcentaje de recaudación de Ingresos</t>
  </si>
  <si>
    <t>Recaudación de ingresos</t>
  </si>
  <si>
    <t>Número de supervisiones para la aplicación de los recursos</t>
  </si>
  <si>
    <t>Supervisiones para la Aplicación de los Recursos</t>
  </si>
  <si>
    <t>3</t>
  </si>
  <si>
    <t>Número de proyectos elaborados</t>
  </si>
  <si>
    <t>Proyectos Elaborados</t>
  </si>
  <si>
    <t>1</t>
  </si>
  <si>
    <t>Número de expedientes modificados entregados</t>
  </si>
  <si>
    <t>Expedientes Entregados</t>
  </si>
  <si>
    <t>2207</t>
  </si>
  <si>
    <t>Número de atenciones a peticiones en el año para la armonización contable</t>
  </si>
  <si>
    <t>Atenciones para la Armonización Contable</t>
  </si>
  <si>
    <t>82</t>
  </si>
  <si>
    <t>Número de atenciones a peticiones en el año para la liquidez oportuna</t>
  </si>
  <si>
    <t>Atenciones para la Liquidez Oportuna</t>
  </si>
  <si>
    <t>0</t>
  </si>
  <si>
    <t>Catastro Gestión e Ingreso</t>
  </si>
  <si>
    <t>Índice de ingresos recaudados</t>
  </si>
  <si>
    <t>Ingresos recaudados</t>
  </si>
  <si>
    <t>Dirección de Catastro</t>
  </si>
  <si>
    <t>Porcentaje de actualización del padrón catastral del municipio de Pachuca de Soto, Hidalgo</t>
  </si>
  <si>
    <t>Actualización del padrón catastral</t>
  </si>
  <si>
    <t>Predios Actualizados</t>
  </si>
  <si>
    <t>Número de predios actualizados</t>
  </si>
  <si>
    <t>Avalúos y visitas atendidas en tiempo y forma.</t>
  </si>
  <si>
    <t>Avalúos realizados, solicitudes atendidas y visitas técnicas</t>
  </si>
  <si>
    <t>Actualización de la cartografía Municipal</t>
  </si>
  <si>
    <t>Levantamientos, solicitudes atendidas y visitas técnicas</t>
  </si>
  <si>
    <t>Número de cuentas prediales asignadas</t>
  </si>
  <si>
    <t>Cuentas Prediales Asignadas</t>
  </si>
  <si>
    <t>Número de predios modificados</t>
  </si>
  <si>
    <t>Predios Modificados</t>
  </si>
  <si>
    <t>Número de claves catastrales asignadas</t>
  </si>
  <si>
    <t>Claves Catastrales Asignadas</t>
  </si>
  <si>
    <t>Número de cuentas prediales actualizadas</t>
  </si>
  <si>
    <t>Cuentas Prediales Actualizadas</t>
  </si>
  <si>
    <t>Número de predios visitados</t>
  </si>
  <si>
    <t>Predios Visitados</t>
  </si>
  <si>
    <t>Número de tecnologías adquiridas para la actualización y automatización</t>
  </si>
  <si>
    <t>Tecnologías Adquiridas</t>
  </si>
  <si>
    <t>Número de visitas técnicas realizadas</t>
  </si>
  <si>
    <t>Visitas Técnicas Realizadas</t>
  </si>
  <si>
    <t>Predios visitados</t>
  </si>
  <si>
    <t>Número de Predios Valuados</t>
  </si>
  <si>
    <t>Predios valuados y actualizados</t>
  </si>
  <si>
    <t>Número de predios valuados y actualizados</t>
  </si>
  <si>
    <t>Número de predios programados y visitados</t>
  </si>
  <si>
    <t>Predios programados y visitados</t>
  </si>
  <si>
    <t>Número de tecnologías adquiridas para la actualización y control de predios</t>
  </si>
  <si>
    <t>Tecnologías adquiridas</t>
  </si>
  <si>
    <t>Evaluación de la eficiencia recaudatoria</t>
  </si>
  <si>
    <t>Índice de recaudación de Ingresos Propios de acuerdo a la balanza de comprobación</t>
  </si>
  <si>
    <t>Recaudación de Ingresos Propios</t>
  </si>
  <si>
    <t>Dirección de Ingresos</t>
  </si>
  <si>
    <t>Tasa de recaudación de los ingresos propios del Municipio de Pachuca de Soto; Hidalgo</t>
  </si>
  <si>
    <t>Recaudación de los ingresos propios</t>
  </si>
  <si>
    <t>Iniciativa de Ley de Ingresos</t>
  </si>
  <si>
    <t>Ingreso por impuesto predial recaudado</t>
  </si>
  <si>
    <t>Ingreso por impuesto predial</t>
  </si>
  <si>
    <t>Convenios realizados</t>
  </si>
  <si>
    <t>Número de asesorías para conocer la integración de la Ley ingresos</t>
  </si>
  <si>
    <t>Asesorías</t>
  </si>
  <si>
    <t>Número de propuestas revisadas</t>
  </si>
  <si>
    <t>Propuestas revisadas</t>
  </si>
  <si>
    <t>Número de actualizaciones y envío de la Ley de Ingresos al Congreso del Estado de Hidalgo</t>
  </si>
  <si>
    <t>Actualizaciones y envíos</t>
  </si>
  <si>
    <t>Número de cuentas prediales pagadas</t>
  </si>
  <si>
    <t>Cuentas prediales pagadas</t>
  </si>
  <si>
    <t>Número de campañas de difusión para conocer el adeudo en el impuesto predial</t>
  </si>
  <si>
    <t>Campañas de difusión</t>
  </si>
  <si>
    <t>Número de convenios elaborados</t>
  </si>
  <si>
    <t>Convenios elaborados</t>
  </si>
  <si>
    <t>Número de procedimientos coactivos instaurados</t>
  </si>
  <si>
    <t>Procedimientos coactivos instaurados</t>
  </si>
  <si>
    <t>Evaluación Financiera Municipal</t>
  </si>
  <si>
    <t>Índice de cumplimiento para el fortalecimiento de la Hacienda Pública Municipal</t>
  </si>
  <si>
    <t>Cumplimiento para el fortalecimiento</t>
  </si>
  <si>
    <t>Dirección de Egresos</t>
  </si>
  <si>
    <t>Tasa de ministración de recursos a Secretarías e Institutos del Municipio de Pachuca de Soto, Hidalgo</t>
  </si>
  <si>
    <t>Ministración de recursos</t>
  </si>
  <si>
    <t>Cantidad de
solicitudes
ejecutadas</t>
  </si>
  <si>
    <t>Solicitudes ejecutadas</t>
  </si>
  <si>
    <t>Número de
capacitaciones
anuales</t>
  </si>
  <si>
    <t>Número de solicitudes recibidas.</t>
  </si>
  <si>
    <t>Solicitudes recibidas</t>
  </si>
  <si>
    <t>Número de solicitudes pagadas.</t>
  </si>
  <si>
    <t>Solicitudes pagadas</t>
  </si>
  <si>
    <t>Número de solicitudes debidamente contabilizadas.</t>
  </si>
  <si>
    <t>Solicitudes contabilizadas</t>
  </si>
  <si>
    <t>Número de capacitaciones ofertadas.</t>
  </si>
  <si>
    <t>Capacitaciones ofertadas</t>
  </si>
  <si>
    <t>Disposición para asumir el manejo adecuado de los temas de capacitación.</t>
  </si>
  <si>
    <t>Disposiciones</t>
  </si>
  <si>
    <t>Armonización Contable y Disciplina Presupuestal</t>
  </si>
  <si>
    <t>Índice de cumplimiento en la Armonización Contable y control financiero a través de la Ley General de Contabilidad Gubernamental
Informe de Gestión Financiera y Cuenta Pública 100%
Presupuesto Modificado Aprobado 90%
Procesos de armonización contable del municipio. 100%</t>
  </si>
  <si>
    <t>Cumplimiento en la Armonización Contable</t>
  </si>
  <si>
    <t>Dirección de Presupuesto y Contabilidad</t>
  </si>
  <si>
    <t>Tasa de cumplimiento en la Contabilidad Gubernamental y al emision de informacion del Municipio de Pachuca de Soto; Hidalgo</t>
  </si>
  <si>
    <t>Cumplimiento en la Contabilidad Gubernamental</t>
  </si>
  <si>
    <t>Porcentaje de cumplimiento en la Armonización Contable</t>
  </si>
  <si>
    <t>Incremento en el cumplimiento en la Armonización Contable</t>
  </si>
  <si>
    <t>Porcentaje de cumplimiento en el informe de Gestión Financiera y Cuenta Pública</t>
  </si>
  <si>
    <t>Incremento en el Cumplimiento de la Gestión Financiera</t>
  </si>
  <si>
    <t>Porcentaje de cumplimiento en el Presupuesto Modificado Aprobado</t>
  </si>
  <si>
    <t>Modificaciones al Presupuesto Aprobado</t>
  </si>
  <si>
    <t>Número de estados financieros alineados conforme al Consejo Nacional de Armonización Contable (CONAC), trimestralmente</t>
  </si>
  <si>
    <t>Estados financieros alineados</t>
  </si>
  <si>
    <t>Número de catálogos de cuentas alineados conforme al Consejo Nacional de Armonización Contable (CONAC), trimestralmente</t>
  </si>
  <si>
    <t>Catálogos de cuentas alineados</t>
  </si>
  <si>
    <t>Número de informes presentados en la Plataforma de Recepción Documental Digital (PREDD) y al Sistema de Informe de Gestión Financiera (SIGF) ambas, ante la Auditoría Superior del Estado de Hidalgo (ASEH)</t>
  </si>
  <si>
    <t>Informes presentados</t>
  </si>
  <si>
    <t>Número de cierres mensuales llevados a cabo en tiempo y forma</t>
  </si>
  <si>
    <t>Cierres mensuales</t>
  </si>
  <si>
    <t>Número de modificaciones en el presupuesto</t>
  </si>
  <si>
    <t>Modificaciones en el presupuesto</t>
  </si>
  <si>
    <t>Número de informes presentados ante la H. Asamblea sobre las adecuaciones presupuestales</t>
  </si>
  <si>
    <t>4 Pachuca Seguro y en Paz</t>
  </si>
  <si>
    <t>Percepción de Seguridad Pública Ante la Ciudadanía</t>
  </si>
  <si>
    <t>Índice de Audiencias y solicitudes recibidas</t>
  </si>
  <si>
    <t>Índice de Audiencia</t>
  </si>
  <si>
    <t>Secretaría de Seguridad Pública, Tránsito y Vialidad</t>
  </si>
  <si>
    <t>Tasa de difusión en Audiencias y solicitudes atendidas</t>
  </si>
  <si>
    <t>Audiencias y solicitudes</t>
  </si>
  <si>
    <t>Cantidad de audiencias atendidas</t>
  </si>
  <si>
    <t>Audiencias Atendidas en Seguridad Pública</t>
  </si>
  <si>
    <t>Cantidad de solicitudes canalizadas</t>
  </si>
  <si>
    <t>Solicitudes atendidas en Seguridad Pública</t>
  </si>
  <si>
    <t>Número de audiencias atendidas</t>
  </si>
  <si>
    <t>Número de dependencias atendidas</t>
  </si>
  <si>
    <t>Dependencias atendidas</t>
  </si>
  <si>
    <t>Número de solicitudes canalizadas</t>
  </si>
  <si>
    <t>Vigilancia sectorial y operatividad con enfoque en proximidad social</t>
  </si>
  <si>
    <t>Índice de recorridos de vigilancia sectorial y operativos implementados</t>
  </si>
  <si>
    <t>Índice de recorridos</t>
  </si>
  <si>
    <t>Dirección de Policía Preventiva</t>
  </si>
  <si>
    <t>Tasa de recorridos de vigilancia sectorial y operativos programados</t>
  </si>
  <si>
    <t>Porcentaje de recorridos de vigilancia</t>
  </si>
  <si>
    <t>Cantidad de recorridos de vigilancia realizados</t>
  </si>
  <si>
    <t>Recorridos Realizados</t>
  </si>
  <si>
    <t>Cantidad de operativos implementados.</t>
  </si>
  <si>
    <t>Operativos Implementados.</t>
  </si>
  <si>
    <t>Número de recorridos de vigilancia en auto patrullas</t>
  </si>
  <si>
    <t>Recorridos de vigilancia en auto patrullas</t>
  </si>
  <si>
    <t>Número de recorridos de vigilancia con moto patrullas</t>
  </si>
  <si>
    <t>Recorridos de vigilancia con moto patrullas</t>
  </si>
  <si>
    <t>Número de recorridos de proximidad social con ciclo policías</t>
  </si>
  <si>
    <t>Recorridos de proximidad social con ciclo policías</t>
  </si>
  <si>
    <t>Número de recorridos pie tierra con agentes caninos</t>
  </si>
  <si>
    <t>Recorridos pie tierra con agentes caninas</t>
  </si>
  <si>
    <t>Número de operativos escuela segura</t>
  </si>
  <si>
    <t>Operativos escuela segura</t>
  </si>
  <si>
    <t>Número de operativos banco seguro</t>
  </si>
  <si>
    <t>Operativos banco seguro</t>
  </si>
  <si>
    <t>Número de operativos paradero de transporte público seguro</t>
  </si>
  <si>
    <t>Operativos paradero seguro</t>
  </si>
  <si>
    <t>Número de operativos comercio seguro</t>
  </si>
  <si>
    <t>Operativos comercio seguros</t>
  </si>
  <si>
    <t>Número de operativos cortina segura</t>
  </si>
  <si>
    <t>Operativos cortina segura</t>
  </si>
  <si>
    <t>Número de operativos rastrillo</t>
  </si>
  <si>
    <t>Operativos rastrillo</t>
  </si>
  <si>
    <t>Número de operativos barrio seguro</t>
  </si>
  <si>
    <t>Operativos barrio seguro</t>
  </si>
  <si>
    <t>Seguridad vial para todos</t>
  </si>
  <si>
    <t>Índice de operativos viales implementados</t>
  </si>
  <si>
    <t>Índice de operativos</t>
  </si>
  <si>
    <t>Dirección de Tránsito y Vialidad</t>
  </si>
  <si>
    <t>Tasa de programas de seguridad vial realizados</t>
  </si>
  <si>
    <t>Programas de Seguridad Realizados</t>
  </si>
  <si>
    <t>Cantidad de operativos de control de velocidad realizados.</t>
  </si>
  <si>
    <t>Operativos viales realizados</t>
  </si>
  <si>
    <t>Cantidad de operativos viales para el uso del equipo de protección realizados.</t>
  </si>
  <si>
    <t>Cantidad de supervisiones a la red vial realizados.</t>
  </si>
  <si>
    <t>Cantidad de operativos viales efectuados.</t>
  </si>
  <si>
    <t>Operativos Viales Realizados</t>
  </si>
  <si>
    <t>Número de operativos de control de velocidad realizados.</t>
  </si>
  <si>
    <t>Operativos carrusel</t>
  </si>
  <si>
    <t>Número de operativos moto segura realizados.</t>
  </si>
  <si>
    <t>Operativos moto segura</t>
  </si>
  <si>
    <t>Número de supervisiones de la red vial realizados</t>
  </si>
  <si>
    <t>Supervisiones de la red vial</t>
  </si>
  <si>
    <t>Número de monitoreos de la señalética vial realizados</t>
  </si>
  <si>
    <t>Monitoreos de la señalética via</t>
  </si>
  <si>
    <t>Número de retiros de objetos colocados en aceras y en la vía pública retirados.</t>
  </si>
  <si>
    <t>Objetos colocados en aceras y vía pública</t>
  </si>
  <si>
    <t>Número de vehículos abandonados retirados</t>
  </si>
  <si>
    <t>Vehículos abandonados retirados</t>
  </si>
  <si>
    <t>Vive Seguro</t>
  </si>
  <si>
    <t>Índice de operativos de seguridad implementados</t>
  </si>
  <si>
    <t>Tasa de población beneficiada</t>
  </si>
  <si>
    <t>Población Beneficiada</t>
  </si>
  <si>
    <t>Cantidad de operativos colonia segura realizados.</t>
  </si>
  <si>
    <t>Número de operativos realizados</t>
  </si>
  <si>
    <t>Cantidad de operativos realizados al transporte público</t>
  </si>
  <si>
    <t>Fortalecimiento de la Función Policial</t>
  </si>
  <si>
    <t>Índice de avance en el cumplimiento de metas</t>
  </si>
  <si>
    <t>índice de metas</t>
  </si>
  <si>
    <t>Dirección Administrativa</t>
  </si>
  <si>
    <t>Tasa de elementos beneficiados</t>
  </si>
  <si>
    <t>Elementos beneficiados</t>
  </si>
  <si>
    <t>Cantidad de Equipos Otorgados</t>
  </si>
  <si>
    <t>Equipos Otorgados</t>
  </si>
  <si>
    <t>Cantidad de elementos profesionalizados</t>
  </si>
  <si>
    <t>Elementos profesionalizados</t>
  </si>
  <si>
    <t>Número de Equipos Entregados</t>
  </si>
  <si>
    <t>Equipos entregados</t>
  </si>
  <si>
    <t>Número de Equipos Otorgados</t>
  </si>
  <si>
    <t>Equipos otorgados</t>
  </si>
  <si>
    <t>Número de elementos operativos capacitados</t>
  </si>
  <si>
    <t>Elementos operativos capacitados</t>
  </si>
  <si>
    <t>Número de elementos operativos evaluados</t>
  </si>
  <si>
    <t>Elementos operativos evaluados</t>
  </si>
  <si>
    <t>Número de trabajadores capacitados</t>
  </si>
  <si>
    <t>Trabajadores capacitados</t>
  </si>
  <si>
    <t>Programa Integral para la Prevención de la Violencia y Delincuencia con Participación Ciudadana</t>
  </si>
  <si>
    <t>Índice de incidencia delictiva anual</t>
  </si>
  <si>
    <t>Índice de incidencia</t>
  </si>
  <si>
    <t>Dirección de Prevención del Delito</t>
  </si>
  <si>
    <t>Tasa de participantes</t>
  </si>
  <si>
    <t>Cantidad de participantes que asisten a las pláticas y actividades con enfoque a prevención del delito</t>
  </si>
  <si>
    <t>Personas que asisten</t>
  </si>
  <si>
    <t>Cantidad de operativos de alcoholímetro que se llevan a cabo durante el periodo establecido</t>
  </si>
  <si>
    <t>Cantidad de órdenes de protección y restricción cumplidas</t>
  </si>
  <si>
    <t>Víctimas atendidas</t>
  </si>
  <si>
    <t>Cantidad de personas atendidas</t>
  </si>
  <si>
    <t>Personas vulnerables atendidas</t>
  </si>
  <si>
    <t>Cantidad de talleres de orientación vocacional y habilidades básicas implementados</t>
  </si>
  <si>
    <t>Número de reuniones vecinales realizadas</t>
  </si>
  <si>
    <t>Reuniones vecinales</t>
  </si>
  <si>
    <t>Número de operativos implementados</t>
  </si>
  <si>
    <t>Operativos implementados</t>
  </si>
  <si>
    <t>Número de personas a las que se realice la prueba de alcoholemia</t>
  </si>
  <si>
    <t>Personas a las que se le realice la prueba de aloholemia</t>
  </si>
  <si>
    <t>Número de infractores detectados</t>
  </si>
  <si>
    <t>Infractores detectados</t>
  </si>
  <si>
    <t>Número de órdenes ejecutadas</t>
  </si>
  <si>
    <t>Órdenes ejecutadas</t>
  </si>
  <si>
    <t>Número de víctimas atendidas</t>
  </si>
  <si>
    <t>Número de personas en estado vulnerable atendidas</t>
  </si>
  <si>
    <t>Personas en estado vulnerable atendidas</t>
  </si>
  <si>
    <t>Número de pláticas en el sector educativo realizadas</t>
  </si>
  <si>
    <t>Pláticas en el sector educativo realizadas</t>
  </si>
  <si>
    <t>Fortalecer las políticas de prevención social de la violencia y la delincuencia con participación ciudadana en el Municipio de Pachuca de Soto</t>
  </si>
  <si>
    <t>Índice de atención de los vínculos de comunicación</t>
  </si>
  <si>
    <t>Índice de atención</t>
  </si>
  <si>
    <t>Dirección de Planeación y Estadística</t>
  </si>
  <si>
    <t>Tasa de reacción oportuna</t>
  </si>
  <si>
    <t>Reacción oportuna</t>
  </si>
  <si>
    <t>Cantidad de llamadas canalizadas adecuadamente</t>
  </si>
  <si>
    <t>Llamadas atendidas del Municipio</t>
  </si>
  <si>
    <t>Cantidad de monitoreos realizados</t>
  </si>
  <si>
    <t>Monitoreos realizados</t>
  </si>
  <si>
    <t>Número de atenciones del C5i</t>
  </si>
  <si>
    <t>Atenciones del C5i</t>
  </si>
  <si>
    <t>Número de atenciones del C2</t>
  </si>
  <si>
    <t>Atenciones del C2</t>
  </si>
  <si>
    <t>Número de atenciones por medio de Segurichat</t>
  </si>
  <si>
    <t>Atenciones por medio de Segurichat</t>
  </si>
  <si>
    <t>Número de monitoreos realizados</t>
  </si>
  <si>
    <t>Número de mantenimientos realizados</t>
  </si>
  <si>
    <t>Mantenimientos realizados</t>
  </si>
  <si>
    <t>Coordinación de la Participación Democrática en los Asuntos de Interés Público dentro de la Asamblea
Municipal</t>
  </si>
  <si>
    <t>Índice de acuerdos que emite el H. Ayuntamiento en favor de la ciudadanía del Municipio de Pachuca de Soto; Hidalgo</t>
  </si>
  <si>
    <t>Acuerdos que emite el H. Ayuntamiento</t>
  </si>
  <si>
    <t>Asamblea</t>
  </si>
  <si>
    <t>El trabajo legislativo de la Asamblea Municipal es aplicado de conformidad con la reglamentación municipal</t>
  </si>
  <si>
    <t>Trabajo legislativo</t>
  </si>
  <si>
    <t>Porcentaje de Sesiones de las Comisiones del H. Ayuntamiento que se llevan a cabo por mes</t>
  </si>
  <si>
    <t>Sesiones de las Comisiones del H. Ayuntamiento</t>
  </si>
  <si>
    <t>Porcentaje de Sesiones Ordinarias del H. Ayuntamiento realizadas en tiempo y forma</t>
  </si>
  <si>
    <t>Sesiones Ordinarias del H. Ayuntamiento</t>
  </si>
  <si>
    <t>Número de reuniones de trabajo entre los integrantes de las comisiones</t>
  </si>
  <si>
    <t>Reuniones de trabajo</t>
  </si>
  <si>
    <t>Número de decretos elaborados y/o actualizados</t>
  </si>
  <si>
    <t>Decretos elaborados y/o actualizados</t>
  </si>
  <si>
    <t>Número de resolutivos por mes</t>
  </si>
  <si>
    <t>Resultivos por mes</t>
  </si>
  <si>
    <t>Número de iniciativas presentadas por los integrantes del H. Ayuntamiento</t>
  </si>
  <si>
    <t>Iniciativas presentadas</t>
  </si>
  <si>
    <t>Número de integrantes del H. Ayuntamiento que asisten a Sesiones</t>
  </si>
  <si>
    <t>Integrantes del H. Ayuntamiento</t>
  </si>
  <si>
    <t>Número de asuntos que no son estudiados en pleno y enviados a Comisiones</t>
  </si>
  <si>
    <t>Asuntos que no son estudiados</t>
  </si>
  <si>
    <t>Número de dictámenes con dispensa de lectura</t>
  </si>
  <si>
    <t>Dictámenes con dispensa de lectura</t>
  </si>
  <si>
    <t>Vigilancia y Atención de los Intereses jurídicos y hacendarios del Municipio dentro de la Asamblea Municipal</t>
  </si>
  <si>
    <t>Índice de control de aspectos financieros y jurìdicos del municipio</t>
  </si>
  <si>
    <t>Aspectos financieros y jurìdicos</t>
  </si>
  <si>
    <t>Sindicaturas</t>
  </si>
  <si>
    <t>Tasa de observaciones a la hacienda municipal y a los aspectos jurídicos del Municipio de Pachuca</t>
  </si>
  <si>
    <t>Observaciones a la hacienda municipal y a los aspectos jurídicos</t>
  </si>
  <si>
    <t>Porcentaje de sesiones mensuales de la Comisión de Hacienda Municipal</t>
  </si>
  <si>
    <t>Sesiones de la Comisión de Hacienda Municipal</t>
  </si>
  <si>
    <t>Porcentaje de la revisión de los Asuntos Jurídicos del Municipio</t>
  </si>
  <si>
    <t>Revisión de los Asuntos Jurídicos del Municipio</t>
  </si>
  <si>
    <t>Número de integrantes que asisten a la Comisión</t>
  </si>
  <si>
    <t>Integrantes que asisten a la Comisión</t>
  </si>
  <si>
    <t>Número de reuniones de coordinación política</t>
  </si>
  <si>
    <t>Reuniones de coordinación política</t>
  </si>
  <si>
    <t>Número de acuerdos que emita la Comisión de hacienda municipal</t>
  </si>
  <si>
    <t>Acuerdos que emita la Comisión de hacienda Municipal</t>
  </si>
  <si>
    <t>Número de asuntos jurìdicos del Municipio</t>
  </si>
  <si>
    <t>Asuntos jurídicos del Municipio</t>
  </si>
  <si>
    <t>Número de demandas del Municipio que se elaboran y contestan en tiempo y forma</t>
  </si>
  <si>
    <t>Demandas del municipio</t>
  </si>
  <si>
    <t>Número de visitas a juzgados para checar los asuntos del Municipio</t>
  </si>
  <si>
    <t>Visitas a los Juzgados</t>
  </si>
  <si>
    <t>Número de asuntos en los que se acredita la personalidad del Municipio</t>
  </si>
  <si>
    <t>Asuntos en los que se acredita</t>
  </si>
  <si>
    <t>Coordinación, Seguimiento y Ejecución del Trabajo Legislativo de los Integrantes de la Asamblea
Municipal</t>
  </si>
  <si>
    <t>Índice de las actuaciones del H. Ayuntamiento al contar con herramientas que generen certidumbre en su actuar</t>
  </si>
  <si>
    <t>Actuaciones del H. Ayuntamiento</t>
  </si>
  <si>
    <t>Oficialía Mayor</t>
  </si>
  <si>
    <t>Tasa de acuerdos derivados del trabajo legislativo de la Asamblea Municipal</t>
  </si>
  <si>
    <t>Acuerdos derivados del trabajo legislativo</t>
  </si>
  <si>
    <t>Porcentaje de sesiones ordinarias del H. Ayuntamiento que se llevan a cabo por mes</t>
  </si>
  <si>
    <t>Sesiones Ordinarias</t>
  </si>
  <si>
    <t>Porcentaje de Decretos publicados</t>
  </si>
  <si>
    <t>Decretos publicados</t>
  </si>
  <si>
    <t>Número de integrantes del H. Ayuntamiento y Secretario, que asisten al apoyo técnico para el desarrollo de las Sesiones</t>
  </si>
  <si>
    <t>Número de notificaciones que se realicen a las áreas</t>
  </si>
  <si>
    <t>Notificaciones que se realizan</t>
  </si>
  <si>
    <t>Número de actualizaciones en la normatividad</t>
  </si>
  <si>
    <t>Actualizaciones en la normatividad</t>
  </si>
  <si>
    <t>Número de asuntos dirigidos al H. Ayuntamiento que se reciban en tiempo y forma</t>
  </si>
  <si>
    <t>Asuntos dirigidos al H.Ayuntamiento</t>
  </si>
  <si>
    <t>Número de actas de la Asamblea Municipal publicadas en tiempo y forma</t>
  </si>
  <si>
    <t>Actas de la Asamblea</t>
  </si>
  <si>
    <t>Número de archivos que se distribuyen a los integrantes del H. Ayuntamiento</t>
  </si>
  <si>
    <t>Archivos que se distribuyen</t>
  </si>
  <si>
    <t>Número de actas del H. Ayuntamiento que se elaboren en tiempo y forma</t>
  </si>
  <si>
    <t>Actas del H. Ayuntamiento</t>
  </si>
  <si>
    <t xml:space="preserve">5 Pachuca ciudad con servicios públicos de calidad </t>
  </si>
  <si>
    <t>Plan de Desarrollo Comunitario de colonias vulnerables del municipio de Pachuca de Soto Hidalgo</t>
  </si>
  <si>
    <t>Índice de implementación de programas para el desarrollo Urbano.</t>
  </si>
  <si>
    <t>Programas para el desarrollo Urbano</t>
  </si>
  <si>
    <t>Instituto Municipal de Investigación y Planeación</t>
  </si>
  <si>
    <t>5 Pachuca ciudad con servicios públicos de calidad</t>
  </si>
  <si>
    <t>Tasa de avance por número de horas ejecutadas para la elaboración del análisis de polígonos estratégicos para el municipio de Pachuca de Soto</t>
  </si>
  <si>
    <t>Horas ejecutadas para la elaboración del análisis de polígonos estratégicos</t>
  </si>
  <si>
    <t>Porcentaje de avance por número de horas ejecutadas para la elaboración del Programa Parcial de Centro Histórico.</t>
  </si>
  <si>
    <t>Avance de actualización para la elaboración del Programa Parcial de Centro Histórico</t>
  </si>
  <si>
    <t>Porcentaje de avance por número de horas ejecutadas para la elaboración del Reglamento del Centro Histórico</t>
  </si>
  <si>
    <t>Avance de actualización del Reglamento del Centro Histórico.</t>
  </si>
  <si>
    <t>Porcentaje de avance por número de horas ejecutadas para la elaboración de los Anexos técnicos del Programa Municipal de Desarrollo Urbano</t>
  </si>
  <si>
    <t>Avance de actualización del Programa Municipal de Desarrollo Urbano.</t>
  </si>
  <si>
    <t>Porcentaje de avance por número de horas ejecutadas para la elaboración del Programa Multifuncional Urbanismo Táctico</t>
  </si>
  <si>
    <t>Avance de actualización del Programa Multifuncional Urbanismo Táctico</t>
  </si>
  <si>
    <t>5 Pachuca ciudad con servicios públicos de calidad y desarrollo sostenible</t>
  </si>
  <si>
    <t>Porcentaje de avance por número de horas ejecutadas para la elaboración del análisis de polígonos estratégicos para el municipio de Pachuca de Soto</t>
  </si>
  <si>
    <t>Avance de actualización de los análisis de polígonos estratégicos</t>
  </si>
  <si>
    <t>Número de términos de referencia elaborados</t>
  </si>
  <si>
    <t>Términos de referencia</t>
  </si>
  <si>
    <t>Número de diagnósticos de grupos vulnerables realizados</t>
  </si>
  <si>
    <t>Diagnósticos de grupos vulnerables</t>
  </si>
  <si>
    <t>Número de diagnósticos sobre la infraestructura</t>
  </si>
  <si>
    <t>Diagnósticos sobre infraestructura</t>
  </si>
  <si>
    <t>Diagnóstico de grupos vulnerables</t>
  </si>
  <si>
    <t>Herramientas, mecanismos, asesoría psicológicas, consejerías, talleres y campañas</t>
  </si>
  <si>
    <t>Índice de variación de personas que solicitan los talleres, la atención psicológica y las campañas realizadas</t>
  </si>
  <si>
    <t>Instituto Municipal para la Prevención de Adicciones</t>
  </si>
  <si>
    <t>La población de Pachuca recibe, asesoría psicológica, campañas y herramientas y obtiene información veraz sobre adicciones</t>
  </si>
  <si>
    <t>Índice de recursos</t>
  </si>
  <si>
    <t>Porcentaje de variación de herramientas, mecanismos, talleres y consejerías impartidas</t>
  </si>
  <si>
    <t>Herramientas (mecanismos,
actividades y talleres)
impartidos en escuelas,
organizaciones barrios y
colonias de la ciudad de
Pachuca</t>
  </si>
  <si>
    <t>Porcentaje de percepciones positivas</t>
  </si>
  <si>
    <t>Percepciones Positivas</t>
  </si>
  <si>
    <t>Porcentaje de variación de
asesorías psicológicas realizadas a las y los usuarios de los
servicios del IMPA(Instituto
Municipal para la Prevención de
Adicciones) realizadas.</t>
  </si>
  <si>
    <t>Valoraciones, atenciones y
seguimientos de atenciones
psicologicas</t>
  </si>
  <si>
    <t>Porcentaje de Seguimientos
Satisfactorios</t>
  </si>
  <si>
    <t>Seguimientos Satisfactorios</t>
  </si>
  <si>
    <t>Porcentaje de variación de
Campañas de difusión en la ciudad de Pachuca realizadas.</t>
  </si>
  <si>
    <t>Campañas</t>
  </si>
  <si>
    <t>Porcentaje de Comentarios
Positivos</t>
  </si>
  <si>
    <t>Comentarios Positivos</t>
  </si>
  <si>
    <t>Actividades Realizadas</t>
  </si>
  <si>
    <t>Talleres Realizados</t>
  </si>
  <si>
    <t>Número de personas atendidas</t>
  </si>
  <si>
    <t>Personas Atendidas</t>
  </si>
  <si>
    <t>Número de casos de riesgo</t>
  </si>
  <si>
    <t>Casos de Riesgo</t>
  </si>
  <si>
    <t>Número de expedientes creados</t>
  </si>
  <si>
    <t>Expedientes Creados</t>
  </si>
  <si>
    <t>Número de personas participantes.</t>
  </si>
  <si>
    <t>Personas Participantes</t>
  </si>
  <si>
    <t>Actividades de administración del tiempo libre en el Centro IMPActivo y curso de verano</t>
  </si>
  <si>
    <t>Porcentaje de inscritos a las actividades, talleres, pláticas y conferencias</t>
  </si>
  <si>
    <t>Porcentaje de inscritos</t>
  </si>
  <si>
    <t>Porcentaje de asistentes a las actividades, talleres, pláticas y conferencias</t>
  </si>
  <si>
    <t>Porcentaje de asistentes</t>
  </si>
  <si>
    <t>Porcentaje de comentarios positivos</t>
  </si>
  <si>
    <t>Porcentaje de actividades realizadas</t>
  </si>
  <si>
    <t>Comentarios Negativos</t>
  </si>
  <si>
    <t>Porcentaje de Opiniones Positivas</t>
  </si>
  <si>
    <t>Opiniones Positivas</t>
  </si>
  <si>
    <t>Número de talleres saludables</t>
  </si>
  <si>
    <t>Talleres Saludables</t>
  </si>
  <si>
    <t>Número de atenciones psicológicas brindadas</t>
  </si>
  <si>
    <t>Atenciones Psicológicas</t>
  </si>
  <si>
    <t>Número de NNA atendidos</t>
  </si>
  <si>
    <t>NNA Atendidos</t>
  </si>
  <si>
    <t>Educación y Salud Sexual Integral para Adolescentes</t>
  </si>
  <si>
    <t>Índice de embarazos en adolescentes en el Municipio de Pachuca de Soto Hidalgo</t>
  </si>
  <si>
    <t>Porcentaje de embarazos</t>
  </si>
  <si>
    <t>Instituto Municipal para la Juventud de Pachuca de Soto</t>
  </si>
  <si>
    <t>Tasa de adolescentes beneficiados</t>
  </si>
  <si>
    <t>Porcentaje de atención</t>
  </si>
  <si>
    <t>I.1.1. Porcentaje de jornadas sobre salud sexual y reproductiva en ruta de colonias y barrios</t>
  </si>
  <si>
    <t>Colonias</t>
  </si>
  <si>
    <t>I.1.2. Porcentaje de métodos hormonales, permanentes y de barrera, brindados en ruta de colonias, barrios e instituciones educativas</t>
  </si>
  <si>
    <t>Métodos Antifecundativos</t>
  </si>
  <si>
    <t>I.1.3. Porcentaje de adolescentes atendidos en las jornadas sobre salud sexual y reproductiva, en ruta de colonias, barrios e instituciones educativas</t>
  </si>
  <si>
    <t>Adolescentes</t>
  </si>
  <si>
    <t>I.2.1. Porcentaje de adolescentes atendidos en terapia psicológica</t>
  </si>
  <si>
    <t>Pacientes</t>
  </si>
  <si>
    <t>I.2.2. Porcentaje de terapias psicológicas brindadas a adolescentes</t>
  </si>
  <si>
    <t>Terapias</t>
  </si>
  <si>
    <t>I.2.3. Porcentaje de adolescentes atendidos en consultorías sobre salud sexual</t>
  </si>
  <si>
    <t>Encuestas de satisfacción</t>
  </si>
  <si>
    <t>I.3.1. Porcentaje de instituciones educativas atendidas</t>
  </si>
  <si>
    <t>Instituciones educativas</t>
  </si>
  <si>
    <t>I.3.2. Porcentaje de pláticas, talleres y conferencias sobre embarazo no planificado e Infecciones de Transmisión Sexual</t>
  </si>
  <si>
    <t>Pláticas, talleres conferencias</t>
  </si>
  <si>
    <t>I.3.3. Porcentaje jóvenes atendidos en pláticas, talleres y conferencias sobre embarazo no planeado e Infecciones de Transmisión Sexual</t>
  </si>
  <si>
    <t>Jóvenes</t>
  </si>
  <si>
    <t>Número de jornadas sobre salud sexual en ruta de colonias y barrios</t>
  </si>
  <si>
    <t>Jornadas de Salud</t>
  </si>
  <si>
    <t>Número de adolescentes atendidos en las jornadas sobre salud sexual, en ruta de colonias, barrios e instituciones educativas</t>
  </si>
  <si>
    <t>Adolescentes Atendidos</t>
  </si>
  <si>
    <t>Número de terapias psicológicas para adolescentes brindadas</t>
  </si>
  <si>
    <t>Terapias Psicológicas</t>
  </si>
  <si>
    <t>Número de adolescentes atendidos en consultorías sobre salud sexual</t>
  </si>
  <si>
    <t>Número de oficios de solicitud</t>
  </si>
  <si>
    <t>Oficios de Solicitud</t>
  </si>
  <si>
    <t>Número talleres, campañas, jornadas, pláticas atendidas</t>
  </si>
  <si>
    <t>Número de Talleres</t>
  </si>
  <si>
    <t>Salud Mental en la Juventud</t>
  </si>
  <si>
    <t>Índice de atención sobre salud Mental</t>
  </si>
  <si>
    <t>Porcentaje de jóvenes beneficiados</t>
  </si>
  <si>
    <t>I. 1.1. Porcentaje de
jóvenes atendidos en
terapia psicológica</t>
  </si>
  <si>
    <t>I.1.2. Porcentaje de
terapias psicológicas</t>
  </si>
  <si>
    <t>I.1.3. Porcentaje de
jóvenes atendidos de
manera satisfactoria en
terapia psicológica</t>
  </si>
  <si>
    <t>Encuestas de satisfacción.</t>
  </si>
  <si>
    <t>I.2.1. Porcentaje de
talleres, charlas y
conferencias sobre salud
mental y manejo de
emociones</t>
  </si>
  <si>
    <t>I.2.2. Porcentaje de
jóvenes beneficiarios
mediante talleres, charlas
y conferencias sobre
salud mental, orientación
vocacional y manejo de
emociones</t>
  </si>
  <si>
    <t>Número de jóvenes que solicitan atención psicológica</t>
  </si>
  <si>
    <t>Jóvenes atendidos</t>
  </si>
  <si>
    <t>Número de jóvenes atendidos en psicología</t>
  </si>
  <si>
    <t>Número de solicitudes de talleres, charlas y conferencias sobre salud mental, orientación vocacional y manejo de emociones</t>
  </si>
  <si>
    <t>Solicitudes de Talleres</t>
  </si>
  <si>
    <t>Número de talleres, charlas y conferencias sobre salud mental, orientación vocacional y manejo de emociones impartidos</t>
  </si>
  <si>
    <t>Juventud con Perspectiva al Emprendimiento Sostenible</t>
  </si>
  <si>
    <t>Índice de jóvenes beneficiados con actividades de emprendimiento</t>
  </si>
  <si>
    <t>Jóvenes beneficiados</t>
  </si>
  <si>
    <t>Tasa de jóvenes beneficiados</t>
  </si>
  <si>
    <t>I.1.1. Porcentaje de jóvenes participantes en bazar joven y capacitaciones con perspectiva de emprendimiento sostenible.</t>
  </si>
  <si>
    <t>I.2.1.Porcentaje de jóvenes participantes en talleres y cursos.</t>
  </si>
  <si>
    <t>Número de charlas y talleres</t>
  </si>
  <si>
    <t>I.3.1.Porcentaje de jóvenes galardonados por su destacada trayectoria y esfuerzo en el municipio de Pachuca de Soto.</t>
  </si>
  <si>
    <t>I.3.2.Porcentaje de jóvenes integrantes de las convocatorias referentes a la participación juvenil.</t>
  </si>
  <si>
    <t>I.3.3.Porcentaje de jóvenes y adolescentes beneficiados en el Centro Bienestar Joven.</t>
  </si>
  <si>
    <t>Jóvenes participantes</t>
  </si>
  <si>
    <t>Número de jóvenes participantes en bazar joven y cursos de emprendimiento sostenible.</t>
  </si>
  <si>
    <t>Jóvenes Participantes</t>
  </si>
  <si>
    <t>Número de jóvenes participantes en capacitaciones con perspectiva de emprendimiento sostenible y autoempleo</t>
  </si>
  <si>
    <t>Número de jóvenes inscritos en cursos y talleres con perspectiva en Derechos Humanos, participación social e inclusión</t>
  </si>
  <si>
    <t>Número de jóvenes galardonados por su destacada trayectoria y esfuerzo en el municipio de Pachuca de Soto</t>
  </si>
  <si>
    <t>Jóvenes Galardonados</t>
  </si>
  <si>
    <t>Número de jóvenes integrantes de las convocatorias referentes a la revisión y diseño de políticas públicas en materia de juventud</t>
  </si>
  <si>
    <t>Jóvenes Integrantes de las convocatorias</t>
  </si>
  <si>
    <t>Despacho de la Secretaría de Desarrollo Humano y Social</t>
  </si>
  <si>
    <t>Número de actividades promovidas</t>
  </si>
  <si>
    <t>Actividades promovidas</t>
  </si>
  <si>
    <t>Secretaría de Desarrollo Humano y Social</t>
  </si>
  <si>
    <t>Número de solicitudes ciudadanas atendidas</t>
  </si>
  <si>
    <t>Solicitudes ciudadanas atendidas</t>
  </si>
  <si>
    <t>Número de reuniones realizadas.</t>
  </si>
  <si>
    <t>Reuniones</t>
  </si>
  <si>
    <t>Número de solicitudes ciudadanas atendidas.</t>
  </si>
  <si>
    <t>Solicitudes</t>
  </si>
  <si>
    <t>Número de reuniones internas realizadas</t>
  </si>
  <si>
    <t>Reuniones realizadas</t>
  </si>
  <si>
    <t>Número de actividades en materia de derechos humanos</t>
  </si>
  <si>
    <t>Actividades</t>
  </si>
  <si>
    <t>Pachuca Participativa</t>
  </si>
  <si>
    <t>Número de Organizaciones activas en Pachuca</t>
  </si>
  <si>
    <t>Organizaciones activas en Pachuca</t>
  </si>
  <si>
    <t>Dirección de Desarrollo Social</t>
  </si>
  <si>
    <t>Número de programas destinados a las Organizaciones de la Sociedad Civil (OSCs)</t>
  </si>
  <si>
    <t>Programas destinados a las Organizaciones de la sociedad civil.</t>
  </si>
  <si>
    <t>Número de Organizaciones y Colectivos inscritos en el Registro Municipal.</t>
  </si>
  <si>
    <t>Organizaciones.</t>
  </si>
  <si>
    <t>Número de capacitaciones enfocadas en atender a la sociedad civil organizada.</t>
  </si>
  <si>
    <t>Capacitaciones y Acciones</t>
  </si>
  <si>
    <t>Número de foros enfocados a la participación ciudadana</t>
  </si>
  <si>
    <t>Programas</t>
  </si>
  <si>
    <t>Número de crecimiento de organizaciones inscritas</t>
  </si>
  <si>
    <t>Crecimiento de las organizaciones inscritas</t>
  </si>
  <si>
    <t>Número de charlas brindadas</t>
  </si>
  <si>
    <t>Charlas</t>
  </si>
  <si>
    <t>Número de Organizaciones apoyadas para su profesionalización, regularización y constitución</t>
  </si>
  <si>
    <t>Organizaciones Apoyadas</t>
  </si>
  <si>
    <t>Número de personas que participa en los foros</t>
  </si>
  <si>
    <t>Personas participantes</t>
  </si>
  <si>
    <t>Jornadas Pachuca Ciudad de Derechos</t>
  </si>
  <si>
    <t>Número de personas que tienen rezago social y pobreza en Pachuca</t>
  </si>
  <si>
    <t>Personas que tienen rezago social y pobreza en Pachuca</t>
  </si>
  <si>
    <t>Número de personas atendidas desde los programas que ofrecen programas sociales</t>
  </si>
  <si>
    <t>Número de gestiones realizadas</t>
  </si>
  <si>
    <t>Número de Personas</t>
  </si>
  <si>
    <t>Número de capacitaciones brindadas</t>
  </si>
  <si>
    <t>Acciones Distintivas</t>
  </si>
  <si>
    <t>Número de colectivos establecidos</t>
  </si>
  <si>
    <t>Colectivos Establecidos</t>
  </si>
  <si>
    <t>Número de conocimientos de colectivos</t>
  </si>
  <si>
    <t>Conocimiento de Colectivos</t>
  </si>
  <si>
    <t>Número de capacitaciones enfocadas en derechos humanos.</t>
  </si>
  <si>
    <t xml:space="preserve">Número de capacitaciones enfocadas a la atención de personas de población prioritaria </t>
  </si>
  <si>
    <t>Pachuca avanza con atención y desarrollo de la primera infancia</t>
  </si>
  <si>
    <t>Número de niñas, niños y adolescentes de Pachuca</t>
  </si>
  <si>
    <t>Niñas, niños y adolescentes de Pachuca</t>
  </si>
  <si>
    <t>Número de niñas, niños y adolescentes de Pachuca que visitan los espacios públicos como Parques y bibliotecas</t>
  </si>
  <si>
    <t>Niñas, niños y adolescentes de Pachuca que visitan los espacios públicos como Parques y bibliotecas</t>
  </si>
  <si>
    <t>Número de niñas, niños y adolescentes que Pachuca Ciudad Inclusiva</t>
  </si>
  <si>
    <t>Niñas, niños y adolescentes beneficiados</t>
  </si>
  <si>
    <t>Número de beneficiarios</t>
  </si>
  <si>
    <t>Número de niñas, niños y adolescentes que participan</t>
  </si>
  <si>
    <t>Número de niñas, niños y adolescentes participantes</t>
  </si>
  <si>
    <t>Reto de la lectura y bibliotecas digitales</t>
  </si>
  <si>
    <t>Porcentaje de usuarios/usuarias captados</t>
  </si>
  <si>
    <t>Usuarios/usuarias captados</t>
  </si>
  <si>
    <t>Dirección de Educación</t>
  </si>
  <si>
    <t>Cursos y talleres impartidos</t>
  </si>
  <si>
    <t>Porcentaje de Cursos y Talleres Impartidos.</t>
  </si>
  <si>
    <t>Cursos y Talleres</t>
  </si>
  <si>
    <t>Porcentaje de círculos de lectura y lectura en voz alta realizados</t>
  </si>
  <si>
    <t>Círculos de Lectura</t>
  </si>
  <si>
    <t>Porcentaje de Asistentes atendidos.</t>
  </si>
  <si>
    <t>Población Atendida</t>
  </si>
  <si>
    <t>Número de talleres de lectura impartidos</t>
  </si>
  <si>
    <t>Talleres impartidos</t>
  </si>
  <si>
    <t>Número de círculos de lectura y lectura en voz alta impartidos</t>
  </si>
  <si>
    <t>Círculos de lectura y lectura en voz alta</t>
  </si>
  <si>
    <t>Número de círculos de lectura y lectura en voz impartidos</t>
  </si>
  <si>
    <t>Número de acervo a domicilio prestados</t>
  </si>
  <si>
    <t>Acervo a domicilio prestados</t>
  </si>
  <si>
    <t>Vinculación y Promoción Académica</t>
  </si>
  <si>
    <t>Porcentaje de personas captadas</t>
  </si>
  <si>
    <t>Personas captadas</t>
  </si>
  <si>
    <t>Porcentajes de becas otorgadas</t>
  </si>
  <si>
    <t>Becas otorgadas</t>
  </si>
  <si>
    <t>Porcentaje de asistentes atendidos</t>
  </si>
  <si>
    <t>Asistentes</t>
  </si>
  <si>
    <t>Porcentaje de usuarios atendidos</t>
  </si>
  <si>
    <t>Número de convocatorias realizadas</t>
  </si>
  <si>
    <t>Convocatorias realizadas</t>
  </si>
  <si>
    <t>Número de actividades de difusión</t>
  </si>
  <si>
    <t>Actividades de Difusión</t>
  </si>
  <si>
    <t>Número de círculos de lectura y lectura en voz alta impartidos.</t>
  </si>
  <si>
    <t>Número de becas gestionadas</t>
  </si>
  <si>
    <t>Becas Gestionadas</t>
  </si>
  <si>
    <t>Número de escuelas incorporadas</t>
  </si>
  <si>
    <t>Escuelas Incorporadas</t>
  </si>
  <si>
    <t>Ciudad del Aprendizaje</t>
  </si>
  <si>
    <t>Porcentaje de cursos y talleres impartidos</t>
  </si>
  <si>
    <t>Porcentaje de usuarios captados</t>
  </si>
  <si>
    <t>Usuarios que asisten a festivales, sesiones y actividades a grupos objetivo</t>
  </si>
  <si>
    <t>Número de actividades desarrolladas.</t>
  </si>
  <si>
    <t>Actividades Desarrolladas</t>
  </si>
  <si>
    <t>Número de usuarios atendidos.</t>
  </si>
  <si>
    <t>Usuarios Atendidos</t>
  </si>
  <si>
    <t>Prevención y promoción de la salud propia y del entorno</t>
  </si>
  <si>
    <t>Porcentaje de personas con enfermedades en Pachuca</t>
  </si>
  <si>
    <t>Personas con enfermedades en Pachuca</t>
  </si>
  <si>
    <t>Porcentaje de personas atendidas desde los programas que promueven la salud en todos los entornos</t>
  </si>
  <si>
    <t>Número de personas atendidas.</t>
  </si>
  <si>
    <t>Número de beneficiarios.</t>
  </si>
  <si>
    <t>Beneficiarios</t>
  </si>
  <si>
    <t>Número de consultas otorgadas</t>
  </si>
  <si>
    <t>Consultas Otorgadas</t>
  </si>
  <si>
    <t>Reto Sobre Ruedas</t>
  </si>
  <si>
    <t>Índice de variación de pachuqueños que mejoran su salud con el uso de vehículos no motorizados</t>
  </si>
  <si>
    <t>Instituto Municipal del Deporte</t>
  </si>
  <si>
    <t>Porcentaje de variación de personas que utilizan vehículos no motorizados</t>
  </si>
  <si>
    <t>Porcentaje de variación de eventos gratuitos con bicicletas realizados en el Municipio.</t>
  </si>
  <si>
    <t>Recorridos</t>
  </si>
  <si>
    <t>Porcentaje de variación de beneficiarios en eventos realizados en el Municipio.</t>
  </si>
  <si>
    <t>Beneficiados</t>
  </si>
  <si>
    <t>Porcentaje de variación de días que se realiza el préstamo de bicicletas gratuitas.</t>
  </si>
  <si>
    <t>Bicicletas prestadas</t>
  </si>
  <si>
    <t>Porcentaje de variación de beneficiados con el préstamo de bicicletas realizados.</t>
  </si>
  <si>
    <t>Beneficiarios con el préstamo de bicicletas</t>
  </si>
  <si>
    <t>Porcentaje de variación de la difusión del uso de vehículos no motorizados realizados</t>
  </si>
  <si>
    <t>Difusión en Redes Sociales Transmitidas</t>
  </si>
  <si>
    <t>Número de recorridos en instituciones públicas y privadas del municipio de Pachuca realizados</t>
  </si>
  <si>
    <t>Recorridos realizados</t>
  </si>
  <si>
    <t>Número de recorridos realizados en colonias, escuelas y barrios del municipio de Pachuca</t>
  </si>
  <si>
    <t>Número de otras actividades deportivas realizadas.</t>
  </si>
  <si>
    <t>Actividades deportivas</t>
  </si>
  <si>
    <t>Número de recorridos con vehículos no motorizados con hombres y mujeres realizados</t>
  </si>
  <si>
    <t>Número de actividades que promuevan el desarrollo de la salud física y mental de las y los adolescentes</t>
  </si>
  <si>
    <t>Número de beneficiarios en eventos realizados</t>
  </si>
  <si>
    <t>Número de préstamos de bicicletas para la niñez en barrios, colonias y localidades del Municipio, realizados.</t>
  </si>
  <si>
    <t>Préstamos de bicicletas</t>
  </si>
  <si>
    <t>Número de préstamo de bicicletas en parques y unidades deportivas realizadas.</t>
  </si>
  <si>
    <t>Número de personas beneficiadas con préstamo de bicicletas</t>
  </si>
  <si>
    <t>Personas beneficiadas</t>
  </si>
  <si>
    <t>Número de actividades informadas mediante redes sociales</t>
  </si>
  <si>
    <t>Actividades informadas mediante redes sociales</t>
  </si>
  <si>
    <t>Número de actividades difundidas en barrios, colonias y localidades del municipio realizadas.</t>
  </si>
  <si>
    <t>Actividades difundidas</t>
  </si>
  <si>
    <t>Fortalécete con Pachuca</t>
  </si>
  <si>
    <t>Índice de variación de personas que mejoran su salud a través de actividades físicas</t>
  </si>
  <si>
    <t>Personas</t>
  </si>
  <si>
    <t>Tasa de variación de personas que practican actividades físicas</t>
  </si>
  <si>
    <t>Personas que practican actividades físicas</t>
  </si>
  <si>
    <t>Porcentaje de variación de activaciones físicas gratuitas brindadas.</t>
  </si>
  <si>
    <t>Activaciones físicas</t>
  </si>
  <si>
    <t>Porcentaje de variación de Beneficiados en activaciones físicas realizadas.</t>
  </si>
  <si>
    <t>Porcentaje de variación de promoción y difusión de activaciones físicas realizadas.</t>
  </si>
  <si>
    <t>Promoción y difusión de activaciones físicas</t>
  </si>
  <si>
    <t>Porcentaje de variación de caminatas familiares y otros eventos gratuitos brindados que activen a la población.</t>
  </si>
  <si>
    <t>Caminatas familiares y otros eventos que activen a la población</t>
  </si>
  <si>
    <t>Porcentaje de variación de beneficiados en caminatas familiares y otros eventos brindados.</t>
  </si>
  <si>
    <t>Beneficiados en caminatas familiares y otros eventos.</t>
  </si>
  <si>
    <t>Número de activaciones físicas realizadas en barrios y colonias del municipio</t>
  </si>
  <si>
    <t>Actividades físicas en barrios y colonias</t>
  </si>
  <si>
    <t>Número de activaciones físicas realizadas en escuelas del municipio</t>
  </si>
  <si>
    <t>Activaciones físicas en escuelas</t>
  </si>
  <si>
    <t>Número de activaciones físicas llevadas a cabo en Instituciones públicas y privadas del municipio</t>
  </si>
  <si>
    <t>Activaciones en Instituciones públicas y privadas</t>
  </si>
  <si>
    <t>Número de activaciones físicas en parques y espacios abiertos y seguros para niñas y niños realizadas</t>
  </si>
  <si>
    <t>Activaciones físicas en parques y espacios abiertos</t>
  </si>
  <si>
    <t>Número de activaciones físicas para hombres y mujeres del municipio realizadas</t>
  </si>
  <si>
    <t>Activaciones físicas para hombres y mujeres</t>
  </si>
  <si>
    <t>Número de personas beneficiadas en activaciones físicas realizadas</t>
  </si>
  <si>
    <t>Activaciones físicas realizadas</t>
  </si>
  <si>
    <t>Número de mensajes masivos de activaciones físicas en redes sociales</t>
  </si>
  <si>
    <t>Mensajes</t>
  </si>
  <si>
    <t>Número de promoción de activaciones físicas en barrios, colonias y localidades del municipio</t>
  </si>
  <si>
    <t>Activaciones físicas en barrios y colonias</t>
  </si>
  <si>
    <t>Número de caminatas familiares realizadas</t>
  </si>
  <si>
    <t>Caminatas familiares</t>
  </si>
  <si>
    <t>Número de realización de Rallys recreativos, senderismo en el municipio</t>
  </si>
  <si>
    <t>Realización de Rallys y senderismo</t>
  </si>
  <si>
    <t>Número de beneficiados en caminatas familiares y otros eventos gratuitos brindados</t>
  </si>
  <si>
    <t>Caminatas familiares y otros eventos</t>
  </si>
  <si>
    <t>Al 100 en el Deporte</t>
  </si>
  <si>
    <t>índice de variación de actividades deportivas realizadas</t>
  </si>
  <si>
    <t>Tasa de variación de eventos deportivos realizados en el Municipio</t>
  </si>
  <si>
    <t>Eventos deportivos</t>
  </si>
  <si>
    <t>Porcentaje de actividades de diferentes disciplinas deportivas realizadas.</t>
  </si>
  <si>
    <t>Actividades de diferentes disciplinas</t>
  </si>
  <si>
    <t>Porcentaje de beneficiados en actividades deportivas realizadas.</t>
  </si>
  <si>
    <t>Porcentaje de variación de apoyos otorgados.</t>
  </si>
  <si>
    <t>Apoyos</t>
  </si>
  <si>
    <t>Porcentaje de variación de beneficiados con los apoyos otorgados.</t>
  </si>
  <si>
    <t>Beneficiados con los Apoyos</t>
  </si>
  <si>
    <t>Porcentaje de variación de capacitaciones otorgadas.</t>
  </si>
  <si>
    <t>Porcentaje de variación de beneficiados con las capacitaciones otorgadas.</t>
  </si>
  <si>
    <t>Beneficiados en las Capacitaciones</t>
  </si>
  <si>
    <t>Porcentaje de variación de diagnósticos sobre deporte y recreación actualizado.</t>
  </si>
  <si>
    <t>Diagnósticos sobre deporte y recreación</t>
  </si>
  <si>
    <t>Porcentaje de variación de acciones para promover el deporte y recreación realizado.</t>
  </si>
  <si>
    <t>Acciones para promover el Deporte y Recreación</t>
  </si>
  <si>
    <t>Porcentaje de variación de promociones y difusiones de actividades deportivas brindadas.</t>
  </si>
  <si>
    <t>Promociones y Difusiones de Actividades Deportivas</t>
  </si>
  <si>
    <t>Número de torneos de diferentes disciplinas deportivas realizados en el municipio</t>
  </si>
  <si>
    <t>Torneos</t>
  </si>
  <si>
    <t>Número de carreras atléticas realizadas en el municipio</t>
  </si>
  <si>
    <t>Carreras atléticas</t>
  </si>
  <si>
    <t>Número de duatlón deportivo realizados</t>
  </si>
  <si>
    <t>Duatlón deportivo</t>
  </si>
  <si>
    <t>Número de actividades deportivas para mujeres realizadas en el municipio</t>
  </si>
  <si>
    <t>Número de reconocimiento al rostro deportivo realizado</t>
  </si>
  <si>
    <t>Reconocimiento al rostro deportivo</t>
  </si>
  <si>
    <t>Número de actividades deportivas para niñas y niños realizados en el municipio</t>
  </si>
  <si>
    <t>Actividades deportivas para niñas y niños</t>
  </si>
  <si>
    <t>Número de torneos deportivos inter barrios realizados</t>
  </si>
  <si>
    <t>Torneos deportivos interbarrios</t>
  </si>
  <si>
    <t>Número de personas beneficiadas con actividades deportivas</t>
  </si>
  <si>
    <t>Número de material deportivo otorgado</t>
  </si>
  <si>
    <t>Entregas de material deportivo</t>
  </si>
  <si>
    <t>Número de Premios Municipal al Deporte realizados</t>
  </si>
  <si>
    <t>Premio municipal al deporte</t>
  </si>
  <si>
    <t>Número de personas beneficiadas con apoyos otorgados</t>
  </si>
  <si>
    <t>Número de capacitaciones realizadas a promotores deportivos y administrativos</t>
  </si>
  <si>
    <t>Número de personas beneficiadas con las capacitaciones otorgadas</t>
  </si>
  <si>
    <t>Número diagnóstico sobre deporte y recreación</t>
  </si>
  <si>
    <t>Número de acciones para promover el deporte y recreación</t>
  </si>
  <si>
    <t>Número de actividades difundidas mediante redes sociales</t>
  </si>
  <si>
    <t>Número de actividades difundidas en barrios, colonias del municipio</t>
  </si>
  <si>
    <t>Escuelas Deportivas</t>
  </si>
  <si>
    <t>índice de variación de niñas, niños y jóvenes que practican actividad deportiva</t>
  </si>
  <si>
    <t>Actividad deportiva</t>
  </si>
  <si>
    <t>Tasa de variación de niñas, niños y jóvenes que acuden a las escuelas deportivas</t>
  </si>
  <si>
    <t>Niñas, niños y adolescentes</t>
  </si>
  <si>
    <t>Porcentaje de variación de escuela deportivas municipales activas.</t>
  </si>
  <si>
    <t>Escuelas activas</t>
  </si>
  <si>
    <t>Porcentaje de variación de personas beneficiadas en escuelas deportivas municipales.</t>
  </si>
  <si>
    <t>Número de escuelas de diferentes disciplinas deportivas creadas</t>
  </si>
  <si>
    <t>Escuelas</t>
  </si>
  <si>
    <t>Número de equipos profesionales de diferentes disciplinas deportivas en el municipio activos</t>
  </si>
  <si>
    <t>Equipos profesionales</t>
  </si>
  <si>
    <t>Número de promoción de actividades deportivas para las y los adolescentes realizadas</t>
  </si>
  <si>
    <t>Número de detección de talentos en las escuelas deportivas municipales</t>
  </si>
  <si>
    <t>Talentos detectados</t>
  </si>
  <si>
    <t>Número de Niñas, niños y adolescentes beneficiados con las escuelas deportivas</t>
  </si>
  <si>
    <t>Número de escuelas deportivas para mujeres en el municipio</t>
  </si>
  <si>
    <t>Escuelas deportivas</t>
  </si>
  <si>
    <t>Número de promoción de la cultura deportiva como práctica del desarrollo a través de incentivos y canalización de adolescentes realizados</t>
  </si>
  <si>
    <t>Promoción cultural</t>
  </si>
  <si>
    <t>Número de Implementación de consejos y comités de participación adolescentes realizados</t>
  </si>
  <si>
    <t>Consejos y comités</t>
  </si>
  <si>
    <t>Cultura Viva para Pachuca.</t>
  </si>
  <si>
    <t>Índice de asistencia a las actividades artísticas y culturales</t>
  </si>
  <si>
    <t>Asistencia a las actividades artísticas y culturales</t>
  </si>
  <si>
    <t>Instituto Municipal para la Cultura</t>
  </si>
  <si>
    <t>Tasa de actividades artísticas y culturales</t>
  </si>
  <si>
    <t>Actividades artísticas y culturales</t>
  </si>
  <si>
    <t>I.1.1. Porcentaje de espacios activados</t>
  </si>
  <si>
    <t>Espacios activados</t>
  </si>
  <si>
    <t>I.1.2. Porcentaje de personas beneficiarias que participan en la activación del espacio público</t>
  </si>
  <si>
    <t>I.2.1. Porcentaje de actividades artísticas y culturales realizadas</t>
  </si>
  <si>
    <t>Actividades artísticas y culturales realizadas</t>
  </si>
  <si>
    <t>I.2.2. Porcentaje de zonas atendidas</t>
  </si>
  <si>
    <t>Zonas atendidas</t>
  </si>
  <si>
    <t>I.2.3. Porcentaje de personas atendidas</t>
  </si>
  <si>
    <t>I.3. Porcentaje de colaboraciones</t>
  </si>
  <si>
    <t>Colaboraciones realizadas</t>
  </si>
  <si>
    <t>Número de espacios activados</t>
  </si>
  <si>
    <t>Número de personas beneficiarias que participan en la activación del espacio público</t>
  </si>
  <si>
    <t>Personas beneficiarias que participan en la activación del espacio público</t>
  </si>
  <si>
    <t>Número de actividades artísticas y culturales realizadas</t>
  </si>
  <si>
    <t>Número de zonas atendidas</t>
  </si>
  <si>
    <t>Número de colaboraciones con artistas locales</t>
  </si>
  <si>
    <t>Colaboraciones con artistas locales</t>
  </si>
  <si>
    <t>Nuestra Filarmónica de Pachuca</t>
  </si>
  <si>
    <t>Índice de asistencia a conciertos</t>
  </si>
  <si>
    <t>Asistencia a conciertos</t>
  </si>
  <si>
    <t>Porcentaje de conciertos realizados</t>
  </si>
  <si>
    <t>Conciertos realizados</t>
  </si>
  <si>
    <t>I.1.1. Porcentaje de capacitaciones especializadas ofrecidas para músicos de la OFiP</t>
  </si>
  <si>
    <t>I.2.1. Porcentaje de público participando de los conciertos de la OFiP</t>
  </si>
  <si>
    <t>Público atendido</t>
  </si>
  <si>
    <t>I.2.2. Porcentaje de zonas de Pachuca atendidas por la OFiP</t>
  </si>
  <si>
    <t>Zonas con cobertura</t>
  </si>
  <si>
    <t>I.2.3. Porcentaje de conciertos realizados</t>
  </si>
  <si>
    <t>Conciertos Realizados</t>
  </si>
  <si>
    <t>Número de capacitaciones especializadas ofrecidas para músicos de la OFIP</t>
  </si>
  <si>
    <t>Capacitaciones especializadas ofrecidas para músicos de la OFIP</t>
  </si>
  <si>
    <t>Porcentaje de público participando de los conciertos de la OFIP</t>
  </si>
  <si>
    <t>Público participando de los conciertos de la OFIP</t>
  </si>
  <si>
    <t>Porcentaje de zonas de Pachuca atendidas por la OFIP</t>
  </si>
  <si>
    <t>Zonas de Pachuca atendidas por la OFIP</t>
  </si>
  <si>
    <t>Formación artística para Pachuca</t>
  </si>
  <si>
    <t>Índice de personas que participan en actividades de formación inicial artística</t>
  </si>
  <si>
    <t>Tasa de colonias atendidas</t>
  </si>
  <si>
    <t>Colonias atendidas</t>
  </si>
  <si>
    <t>I.1.1. Porcentaje de poblaciones específicas atendidas</t>
  </si>
  <si>
    <t>Poblaciones específicas atendidas</t>
  </si>
  <si>
    <t>I.2.1. Porcentaje de talleres realizados con satisfacción</t>
  </si>
  <si>
    <t>Talleres realizados con satisfacción</t>
  </si>
  <si>
    <t>I.2.2. Porcentaje de instituciones educativas atendidas</t>
  </si>
  <si>
    <t>Actividades de difusión realizadas en instituciones educativas</t>
  </si>
  <si>
    <t>Número de poblaciones específicas atendidas</t>
  </si>
  <si>
    <t>Número de talleres realizados con satisfacción</t>
  </si>
  <si>
    <t>Número de actividades de difusión en instituciones educativas</t>
  </si>
  <si>
    <t>Actividades de difusión en instituciones educativas</t>
  </si>
  <si>
    <t>Coordinación de la Secretaría de Medio Ambiente y Desarrollo Sustentable</t>
  </si>
  <si>
    <t>Índice de campañas y programas instrumentados</t>
  </si>
  <si>
    <t>Campañas y programas instrumentados</t>
  </si>
  <si>
    <t>Secretaria de Medio Ambiente y Desarrollo Sustentable</t>
  </si>
  <si>
    <t>Tasa de actividades programadas</t>
  </si>
  <si>
    <t>Actividades programadas</t>
  </si>
  <si>
    <t>Porcentaje de personas capacitadas</t>
  </si>
  <si>
    <t>Personas capacitadas</t>
  </si>
  <si>
    <t>Porcentaje de Programas de Educación Ambiental Creados.</t>
  </si>
  <si>
    <t>Programa de Educación Ambiental Creado</t>
  </si>
  <si>
    <t>Porcentaje de campañas realizadas</t>
  </si>
  <si>
    <t>Campañas realizadas</t>
  </si>
  <si>
    <t>Porcentaje de Kilogramos acopiados.</t>
  </si>
  <si>
    <t>Kilogramos Acopiados</t>
  </si>
  <si>
    <t>Número de personas capacitadas</t>
  </si>
  <si>
    <t>Número de Programa de Educación Ambiental Creado</t>
  </si>
  <si>
    <t>Programas de educación ambiental</t>
  </si>
  <si>
    <t>Número de campañas realizadas</t>
  </si>
  <si>
    <t>Regulación, control, Inspección y vigilancia ambiental en el municipio de Pachuca de Soto</t>
  </si>
  <si>
    <t>Índice de acciones realizadas</t>
  </si>
  <si>
    <t>Dirección de Inspección y Vigilancia Ambiental</t>
  </si>
  <si>
    <t>Porcentaje de Dictámenes de Impacto Ambiental emitidos en un plazo de 5 días hábiles</t>
  </si>
  <si>
    <t>Dictámenes de Impacto Ambiental Emitidos</t>
  </si>
  <si>
    <t>Porcentaje de quejas y denuncias atendidas en un plazo de 5 días hábiles</t>
  </si>
  <si>
    <t>Quejas y denuncias atendidas</t>
  </si>
  <si>
    <t>Porcentaje de acción implementada para promover la regulación ambiental.</t>
  </si>
  <si>
    <t>Distintivo verde para establecimientos comerciales sustentables creado</t>
  </si>
  <si>
    <t>Número de Dictámenes de Impacto Ambiental emitidos en un plazo de 5 días hábiles</t>
  </si>
  <si>
    <t>Número de quejas y denuncias atendidas en un plazo de 5 días hábiles</t>
  </si>
  <si>
    <t>Número de acción implementada para promover la regulación ambiental</t>
  </si>
  <si>
    <t>Acciones implementadas</t>
  </si>
  <si>
    <t>Disminución de la degradación de la naturaleza y deforestación del Municipio de Pachuca de Soto</t>
  </si>
  <si>
    <t>Índice de reforestaciones</t>
  </si>
  <si>
    <t>Reforestaciones</t>
  </si>
  <si>
    <t>Dirección de Sustentabilidad de Recursos Naturales</t>
  </si>
  <si>
    <t>Tasa de estrategias realizadas</t>
  </si>
  <si>
    <t>Estrategias realizadas</t>
  </si>
  <si>
    <t>Porcentaje de árboles plantados.</t>
  </si>
  <si>
    <t>Árboles plantados</t>
  </si>
  <si>
    <t>Porcentaje de quejas y denuncias
atendidas en un plazo de 5 días hábiles</t>
  </si>
  <si>
    <t>Porcentaje de dictámenes emitidos
en un plazo de 15 días hábiles</t>
  </si>
  <si>
    <t>Dictámenes emitidos</t>
  </si>
  <si>
    <t>Número de árboles reforestados</t>
  </si>
  <si>
    <t>Árboles reforestados</t>
  </si>
  <si>
    <t>Número de dictámenes emitidos</t>
  </si>
  <si>
    <t>Procuración y Bienestar Animal</t>
  </si>
  <si>
    <t>Área Técnica de Protección, Sanidad Animal y Control de Especies Animales</t>
  </si>
  <si>
    <t>Porcentaje de personas concientizadas.</t>
  </si>
  <si>
    <t>Personas concientizadas</t>
  </si>
  <si>
    <t>Porcentaje de consultas de medicina veterinaria</t>
  </si>
  <si>
    <t>Consultas Medicina Veterinaria</t>
  </si>
  <si>
    <t>Porcentaje de quejas y denuncias atendidas</t>
  </si>
  <si>
    <t>Quejas atendidas</t>
  </si>
  <si>
    <t>Porcentaje de esterilizaciones realizadas</t>
  </si>
  <si>
    <t>Esterilizaciones
atendidas</t>
  </si>
  <si>
    <t>Porcentaje de vacunas aplicadas.</t>
  </si>
  <si>
    <t>Vacunas antirrábicas
aplicadas</t>
  </si>
  <si>
    <t>Número de personas concientizadas</t>
  </si>
  <si>
    <t>Número de registros realizados</t>
  </si>
  <si>
    <t>Registros realizados</t>
  </si>
  <si>
    <t>Número de quejas y denuncias atendidas</t>
  </si>
  <si>
    <t>Número de esterilizaciones realizadas</t>
  </si>
  <si>
    <t>Esterilizaciones realizadas</t>
  </si>
  <si>
    <t>Número de vacunas aplicadas</t>
  </si>
  <si>
    <t>Vacunas aplicadas</t>
  </si>
  <si>
    <t>Coordinación y Administración de la SPyE</t>
  </si>
  <si>
    <t>Índice de acciones instrumentadas en la Secretaría de Planeación y Evaluación</t>
  </si>
  <si>
    <t>Acciones Instrumentadas</t>
  </si>
  <si>
    <t>"Tasa de cumplimiento de las
actividades atribuidas"</t>
  </si>
  <si>
    <t>Actividades Atribuidas</t>
  </si>
  <si>
    <t>Porcentaje de procesos realizados eficientemente</t>
  </si>
  <si>
    <t>Número de Procesos realizados</t>
  </si>
  <si>
    <t>Porcentaje de procesos realizados</t>
  </si>
  <si>
    <t>Porcentaje de reuniones, capacitaciones y solicitudes de información para una eficiente coordinación</t>
  </si>
  <si>
    <t>Coordinaciones</t>
  </si>
  <si>
    <t>Porcentaje de Sesiones Ordinarias y Extraordinarias del Comité de Planeación para el Desarrollo Municipal (COPLADEM) y del Comité Estratégico de Evaluación Municipal (CEEM)</t>
  </si>
  <si>
    <t>Sesiones Ordinarias y Extraordinarias de COPLADEM y CEEM</t>
  </si>
  <si>
    <t>Porcentaje de reuniones de coordinación y seguimiento realizadas</t>
  </si>
  <si>
    <t>Reuniones de Coordinación y Seguimiento</t>
  </si>
  <si>
    <t>Número de contrataciones y trámites realizados para el correcto funcionamiento</t>
  </si>
  <si>
    <t>Contrataciones y Trámites</t>
  </si>
  <si>
    <t>Número de expedientes resguardados adecuadamente</t>
  </si>
  <si>
    <t>Expedientes resguardados</t>
  </si>
  <si>
    <t>Número de datos para el Informe de Gobierno</t>
  </si>
  <si>
    <t>Datos para el Informe de Gobierno</t>
  </si>
  <si>
    <t>"Número de Sesiones Ordinarias y
Extraordinarias realizadas"</t>
  </si>
  <si>
    <t>Sesiones Ordinarias y Extraordinarias</t>
  </si>
  <si>
    <t>Número de reuniones realizadas</t>
  </si>
  <si>
    <t>Reuniones Realizadas</t>
  </si>
  <si>
    <t>Fortalecimiento del Presupuesto basado en Resultados y el Sistema de Evaluación del Desempeño</t>
  </si>
  <si>
    <t>Índice de coordinaciones de procesos de planeación realizados</t>
  </si>
  <si>
    <t>Coordinaciones de procesos de planeación realizados</t>
  </si>
  <si>
    <t>Dirección de Planeación, Evaluación y Proyectos Estratégicos</t>
  </si>
  <si>
    <t>Tasa de incremento en la clasificación de las evaluaciones realizadas</t>
  </si>
  <si>
    <t>Incremento en la clasificación</t>
  </si>
  <si>
    <t>Porcentaje de servidores públicos capacitados para el cumplimiento de las metas establecidas de los PbR</t>
  </si>
  <si>
    <t>Porcentaje de informes integrados para la publicación en el Sistema de Portales de Obligaciones de Transparencia</t>
  </si>
  <si>
    <t>Porcentaje de evidencias integradas de las unidades administrativas para los formatos de diagnóstico de PbR-SED</t>
  </si>
  <si>
    <t>Evidencias</t>
  </si>
  <si>
    <t>Porcentaje de inspecciones realizadas para el cumplimiento de metas de la ODS</t>
  </si>
  <si>
    <t>Inspecciones</t>
  </si>
  <si>
    <t>Número de revisiones y acompañamientos realizados</t>
  </si>
  <si>
    <t>Revisiones y Acompañamientos</t>
  </si>
  <si>
    <t>Número con revisiones con perspectiva</t>
  </si>
  <si>
    <t>Revisiones con Perspectiva</t>
  </si>
  <si>
    <t>Número de formatos integrados de seguimiento de indicadores</t>
  </si>
  <si>
    <t>Formatos integrados</t>
  </si>
  <si>
    <t>Número de diagnósticos debidamente integrados</t>
  </si>
  <si>
    <t>Diagnósticos Debidamente Integrados</t>
  </si>
  <si>
    <t>Eficiencia en la publicación oportuna del Programa Anual de Evaluación</t>
  </si>
  <si>
    <t>Eficacia en la publicación oportuna del PAE</t>
  </si>
  <si>
    <t>Vinculación Interinstitucional e Implementación de las Tecnologías de la información y fortalecimiento de contenidos del portal institucional</t>
  </si>
  <si>
    <t>Índice de iniciativas implementadas</t>
  </si>
  <si>
    <t>Porcentaje de iniciativas implementadas</t>
  </si>
  <si>
    <t>Dirección de Vinculación e Innovación Institucional</t>
  </si>
  <si>
    <t>Tasa de crecimiento de iniciativas de vinculación y/o innovación implementadas en la actual administración pública</t>
  </si>
  <si>
    <t>Porcentaje de crecimiento</t>
  </si>
  <si>
    <t>Porcentaje de micrositios implementados con respecto a las solicitudes de diseño de micrositios</t>
  </si>
  <si>
    <t>Micrositios</t>
  </si>
  <si>
    <t>Porcentaje de actualizaciones y/o incorporación de información en materia de transparencia atendidas respecto a las solicitudes recibidas</t>
  </si>
  <si>
    <t>Solicitudes de actualización y/o incorporación de información</t>
  </si>
  <si>
    <t>Porcentaje de soluciones tecnológicas implementadas respecto a las solicitudes validadas</t>
  </si>
  <si>
    <t>Soluciones tecnológicas</t>
  </si>
  <si>
    <t>Porcentaje de incorporación y/o actualización de datasets respecto a las solicitudes recibidas</t>
  </si>
  <si>
    <t>Datasets</t>
  </si>
  <si>
    <t>Porcentaje de vinculaciones efectivas</t>
  </si>
  <si>
    <t>Vinculaciones efectivas</t>
  </si>
  <si>
    <t>Número de propuestas de nuevos micrositios.</t>
  </si>
  <si>
    <t>Propuestas de Nuevos Micrositios</t>
  </si>
  <si>
    <t>Número de contenidos digitales actualizados.</t>
  </si>
  <si>
    <t>Contenidos Digitales Actualizados</t>
  </si>
  <si>
    <t>Número de solicitudes de incorporación y/o actualización de información en materia de transparencia.</t>
  </si>
  <si>
    <t>Solicitudes de incorporación y/o actualización</t>
  </si>
  <si>
    <t>Número de solicitudes de actualización y publicación en materia de transparencia atendidas.</t>
  </si>
  <si>
    <t>Solicitudes de actualización y publicación</t>
  </si>
  <si>
    <t>Número de procesos automatizados.</t>
  </si>
  <si>
    <t>Procesos Automatizados</t>
  </si>
  <si>
    <t>Número de procesos rediseñados.</t>
  </si>
  <si>
    <t>Procesos Rediseñados</t>
  </si>
  <si>
    <t>Número de solicitudes de publicación de información con características de datos abiertos recibidas.</t>
  </si>
  <si>
    <t>Solicitudes de publicación</t>
  </si>
  <si>
    <t>Número de solicitudes de publicaciones y actualizaciones atendidas.</t>
  </si>
  <si>
    <t>Solicitudes de publicaciones y actualizaciones</t>
  </si>
  <si>
    <t>Número de vinculaciones formalizadas.</t>
  </si>
  <si>
    <t>Vinculaciones Formalizadas</t>
  </si>
  <si>
    <t>Número vinculaciones afectivas derivadas de las vinculaciones formalizadas.</t>
  </si>
  <si>
    <t>Vinculaciones Efectivas</t>
  </si>
  <si>
    <t>Rehabilitación de Fauna Silvestre</t>
  </si>
  <si>
    <t>Porcentaje de ejemplares atendidos médica y conductualmente</t>
  </si>
  <si>
    <t>Ejemplares atendidos</t>
  </si>
  <si>
    <t>Primera Unidad de Rescate, Rehabilitación y Reubicación de la Fauna silvestre, Endémica y Exótica de México</t>
  </si>
  <si>
    <t>Tasa de atenciones médicas y conductuales a ejemplares realizadas</t>
  </si>
  <si>
    <t>Atenciones médicas y conductual</t>
  </si>
  <si>
    <t>Porcentaje de ejemplares recibidos en la URRRFSM.</t>
  </si>
  <si>
    <t>Ejemplares recibidos en la URRRFSM.</t>
  </si>
  <si>
    <t>Porcentaje de atenciones médicas brindadas a ejemplares de la Unidad.</t>
  </si>
  <si>
    <t>Atención médica brindada.</t>
  </si>
  <si>
    <t>Porcentaje de reubicaciones o liberaciones realizadas.</t>
  </si>
  <si>
    <t>Reubicación o liberación por ejemplar.</t>
  </si>
  <si>
    <t>Número de ejemplares recibidos</t>
  </si>
  <si>
    <t>Ejemplares recibidos</t>
  </si>
  <si>
    <t>Número de atenciones médicas brindadas</t>
  </si>
  <si>
    <t>Atenciones médicas brindadas</t>
  </si>
  <si>
    <t>Número de ejemplares reubicados o liberados</t>
  </si>
  <si>
    <t>Ejemplares reubicados o liberados</t>
  </si>
  <si>
    <t>Educación Ambiental Sobre Fauna</t>
  </si>
  <si>
    <t>Índice de acciones encaminadas a la difusión de temas relacionados con la fauna silvestre</t>
  </si>
  <si>
    <t>Acciones encaminadas a la difusión</t>
  </si>
  <si>
    <t>Tasa de personas sensibilizadas con respecto a la fauna silvestre</t>
  </si>
  <si>
    <t>Personas sensibilizadas</t>
  </si>
  <si>
    <t>Porcentaje de recorridos presenciales o virtuales</t>
  </si>
  <si>
    <t>Recorrido presencial o virtual</t>
  </si>
  <si>
    <t>Porcentaje de cursos presenciales o virtuales</t>
  </si>
  <si>
    <t>Curso impartido</t>
  </si>
  <si>
    <t>Porcentaje de talleres presenciales o virtuales</t>
  </si>
  <si>
    <t>Taller impartido</t>
  </si>
  <si>
    <t>Porcentaje de publicaciones de infografías o videos en redes sociales</t>
  </si>
  <si>
    <t>Infografía o vídeo publicado</t>
  </si>
  <si>
    <t>Número de recorridos presenciales o virtuales</t>
  </si>
  <si>
    <t>Recorridos presenciales y virtuales realizados</t>
  </si>
  <si>
    <t>Número de cursos presenciales o virtuales</t>
  </si>
  <si>
    <t>Cursos presenciales y virtuales</t>
  </si>
  <si>
    <t>Número de talleres presenciales o virtuales</t>
  </si>
  <si>
    <t>Talleres presenciales y virtuales</t>
  </si>
  <si>
    <t>Número de publicaciones de infografías o videos en redes sociales</t>
  </si>
  <si>
    <t>Publicaciones de infografías y vídeos en redes sociales</t>
  </si>
  <si>
    <t>3 Pachuca con Bienestar Social, Humana, Igualitaria y con Valores.</t>
  </si>
  <si>
    <t>Coordinación de la Secretaría Municipal de las Mujeres</t>
  </si>
  <si>
    <t>Tasa de mejoras en las condiciones óptimas para que el personal desarrolle las actividades para las que fue contratado</t>
  </si>
  <si>
    <t>Mejoras en las condiciones</t>
  </si>
  <si>
    <t>Secretaría Municipal de las Mujeres</t>
  </si>
  <si>
    <t>Porcentaje de avance en la coordinación de las direcciones para el desempeño de sus funciones</t>
  </si>
  <si>
    <t>Avance en la coordinación de las direccione</t>
  </si>
  <si>
    <t>Porcentaje de reuniones de coordinación realizadas</t>
  </si>
  <si>
    <t>Reuniones de coordinación.</t>
  </si>
  <si>
    <t>Porcentaje de comunicaciones con las Direcciones de la Secretaría.</t>
  </si>
  <si>
    <t>Medios de comunicación.</t>
  </si>
  <si>
    <t>Porcentaje de reuniones de trabajo realizadas.</t>
  </si>
  <si>
    <t>Reuniones de trabajo.</t>
  </si>
  <si>
    <t>Número de cronogramas realizados</t>
  </si>
  <si>
    <t>Cronogramas realizados</t>
  </si>
  <si>
    <t>Número de acuerdos de reuniones implementados</t>
  </si>
  <si>
    <t>Acuerdos Implementados</t>
  </si>
  <si>
    <t>Número de mecanismos de comunicación realizados</t>
  </si>
  <si>
    <t>Mecanismos de Comunicación Realizados</t>
  </si>
  <si>
    <t>Número de acuerdos implementados</t>
  </si>
  <si>
    <t>Número de calendarios de reuniones realizados</t>
  </si>
  <si>
    <t>Calendarios Realizados</t>
  </si>
  <si>
    <t>Avanzar a la igualdad</t>
  </si>
  <si>
    <t>Tasa de desarrollo de las mujeres en el municipio de Pachuca de Soto</t>
  </si>
  <si>
    <t>Desarrollo de las mujeres</t>
  </si>
  <si>
    <t>Dirección de Transversalización de la Perspectiva de Género de la Secretaría Municipal de las Mujeres</t>
  </si>
  <si>
    <t>Porcentaje de servidores públicos aprobados en capacitaciones en perspectiva y equidad de género</t>
  </si>
  <si>
    <t>Servidores públicos aprobados en capacitaciones</t>
  </si>
  <si>
    <t>Porcentaje de enlaces de género capacitados.</t>
  </si>
  <si>
    <t>Enlaces de género capacitados.</t>
  </si>
  <si>
    <t>Porcentaje de servidores públicos municipales capacitados</t>
  </si>
  <si>
    <t>Servidores públicos municipales capacitados.</t>
  </si>
  <si>
    <t>Número de directorios de enlaces realizados</t>
  </si>
  <si>
    <t>Directorios realizados</t>
  </si>
  <si>
    <t>Número de reuniones y capacitaciones con enlaces de género realizadas</t>
  </si>
  <si>
    <t>Reuniones y Capacitaciones realizadas</t>
  </si>
  <si>
    <t>Número de directorios de enlaces realizadas</t>
  </si>
  <si>
    <t>Cantidad de recurso aplicado</t>
  </si>
  <si>
    <t>Recursos Aplicados</t>
  </si>
  <si>
    <t>Número de seguimientos de reuniones y capacitaciones con enlaces de género realizadas</t>
  </si>
  <si>
    <t>Nùmero de reuniones y capacitaciones con enlaces de género realizadas</t>
  </si>
  <si>
    <t>Número de temas prioritarios con perspectiva de género seleccionados</t>
  </si>
  <si>
    <t>Temas Prioritarios</t>
  </si>
  <si>
    <t>Mujeres Empoderando Mujeres</t>
  </si>
  <si>
    <t>Tasa de desarrollo integral de las mujeres</t>
  </si>
  <si>
    <t>Desarrollo integral de las mujeres</t>
  </si>
  <si>
    <t>Dirección de Empoderamiento</t>
  </si>
  <si>
    <t>Porcentaje de disminución de mujeres que sufren violencia de género</t>
  </si>
  <si>
    <t>Mujeres que sufren violencia de género</t>
  </si>
  <si>
    <t>Porcentaje de servicios multidisciplinarios realizados</t>
  </si>
  <si>
    <t>Servicios Multidisciplinarios.</t>
  </si>
  <si>
    <t>Porcentaje de mujeres en talleres registradas</t>
  </si>
  <si>
    <t>Mujeres capacitadas</t>
  </si>
  <si>
    <t>Número de atenciones de psicológica, jurídica y de trabajo social realizadas</t>
  </si>
  <si>
    <t>Número de programaciones para el cumplimiento de los procesos</t>
  </si>
  <si>
    <t>Cumplimiento de los procesos</t>
  </si>
  <si>
    <t>Número de encuestas aplicadas</t>
  </si>
  <si>
    <t>Encuestas Aplicadas</t>
  </si>
  <si>
    <t>Número de mujeres participantes en talleres</t>
  </si>
  <si>
    <t>Mujeres Participantes</t>
  </si>
  <si>
    <t>Número de evaluaciones de temas y perfiles realizadas</t>
  </si>
  <si>
    <t>Evaluaciones realizadas</t>
  </si>
  <si>
    <t>Planeación Estratégica con Perspectiva de Género</t>
  </si>
  <si>
    <t>Tasa de aspectos susceptibles de mejora presentados</t>
  </si>
  <si>
    <t>Aspectos susceptibles de mejora</t>
  </si>
  <si>
    <t>Dirección de Planeación Estratégica</t>
  </si>
  <si>
    <t>Índice de acciones implementadas en materia de planeación y evaluación</t>
  </si>
  <si>
    <t>Acciones implementadas en materia de planeación y evaluación</t>
  </si>
  <si>
    <t>Porcentaje de presupuestos basados en resultados realizados</t>
  </si>
  <si>
    <t>Presupuesto basado en resultados.</t>
  </si>
  <si>
    <t>Porcentaje de evaluaciones a los programas y proyectos realizados</t>
  </si>
  <si>
    <t>Número de instrumentos para el diagnóstico de la situación de las mujeres de Pachuca elaborados</t>
  </si>
  <si>
    <t>Instrumentos para el Diagnóstico</t>
  </si>
  <si>
    <t>Número de adscripciones del personal adecuado a la Dirección de Planeación Estratégica realizadas</t>
  </si>
  <si>
    <t>Adscripciones de personal</t>
  </si>
  <si>
    <t>Número de indicadores realizados</t>
  </si>
  <si>
    <t>Indicadores Realizados</t>
  </si>
  <si>
    <t>Número de procesos de seguimiento de los programas y proyectos realizados</t>
  </si>
  <si>
    <t>Procesos de Seguimiento</t>
  </si>
  <si>
    <t>Número evaluaciones a los perfiles adscritos a la Dirección de Planeación aplicadas</t>
  </si>
  <si>
    <t>Evaluación de Perfiles</t>
  </si>
  <si>
    <t>Número de seguimientos atendidos</t>
  </si>
  <si>
    <t>Seguimientos atendidos</t>
  </si>
  <si>
    <t>Dirigir, Supervisar y Coordinar el Sistema DIF Municipal</t>
  </si>
  <si>
    <t>Tasa de programas sociales implementados</t>
  </si>
  <si>
    <t>Programas Sociales</t>
  </si>
  <si>
    <t>Sistema DIF Municipal</t>
  </si>
  <si>
    <t>Tasa de población beneficiada con programas de protección social</t>
  </si>
  <si>
    <t>Porcentaje de coordinaciones eficientes realizadas</t>
  </si>
  <si>
    <t>Coordinaciones eficientes realizadas</t>
  </si>
  <si>
    <t>Porcentaje de turnos realizados</t>
  </si>
  <si>
    <t>Turnos realizados</t>
  </si>
  <si>
    <t>Tasa de reuniones de seguimiento, coordinación y generación de acuerdos</t>
  </si>
  <si>
    <t>Tasa de turnos registrados</t>
  </si>
  <si>
    <t>Turnos registrados</t>
  </si>
  <si>
    <t>Seguimiento de acuerdos e instrucciones que la Dirección Ejecutiva dicte y adecuado cumplimiento de rendición de transparencia</t>
  </si>
  <si>
    <t>Tasa de acuerdos, instrucciones, proyectos y acciones atendidas</t>
  </si>
  <si>
    <t>acuerdos, instrucciones, proyectos y acciones</t>
  </si>
  <si>
    <t>Tasa de metas y programas realizados</t>
  </si>
  <si>
    <t>metas y programas planificados</t>
  </si>
  <si>
    <t>Porcentaje de Integración de Juntas de Gobierno del Sistema DIF Municipal</t>
  </si>
  <si>
    <t>Informes de Actividades y Metas</t>
  </si>
  <si>
    <t>Porcentaje de reuniones del equipo de trabajo del Sistema DIF Municipal realizadas</t>
  </si>
  <si>
    <t>Porcentaje de cumplimiento de información y metas de los programas del Sistema DIF municipal realizadas</t>
  </si>
  <si>
    <t>Cumplimiento de información y metas programadas</t>
  </si>
  <si>
    <t>Número de integración de información realizadas</t>
  </si>
  <si>
    <t>Información Proporcionada</t>
  </si>
  <si>
    <t>Tasa de solicitudes semanales de calendario de actividades y puntos a tratar</t>
  </si>
  <si>
    <t>Solicitudes semanales</t>
  </si>
  <si>
    <t>Tasa de seguimientos de PbR´s y cumplimiento de información de obligaciones de transparencia integrados</t>
  </si>
  <si>
    <t>obligaciones de transparencia</t>
  </si>
  <si>
    <t>Administración Eficiente</t>
  </si>
  <si>
    <t>Tasa de operaciones administrativas realizadas</t>
  </si>
  <si>
    <t>Operaciones administrativas</t>
  </si>
  <si>
    <t>Tasa de bienes y servicios otorgados</t>
  </si>
  <si>
    <t>Bienes y servicios</t>
  </si>
  <si>
    <t>Porcentaje de bienes y servicios otorgados</t>
  </si>
  <si>
    <t>Porcentaje de actividades realizadas de recursos humanos</t>
  </si>
  <si>
    <t>Porcentaje de solicitudes de mantenimientos informáticos atendidos</t>
  </si>
  <si>
    <t>Porcentaje de actualizaciones de inventarios realizados</t>
  </si>
  <si>
    <t>Porcentaje de actualizaciones de Inventarios realizados</t>
  </si>
  <si>
    <t>Porcentaje de informes entregados</t>
  </si>
  <si>
    <t>Porcentaje de Informes entregados</t>
  </si>
  <si>
    <t>Porcentaje de órdenes de compra/servicio realizadas</t>
  </si>
  <si>
    <t>órdenes de compra/servicio realizadas</t>
  </si>
  <si>
    <t>Porcentaje de compras menores realizadas</t>
  </si>
  <si>
    <t>Compras menores realizadas</t>
  </si>
  <si>
    <t>Porcentaje de capacitaciones implementadas</t>
  </si>
  <si>
    <t>capacitaciones implementadas</t>
  </si>
  <si>
    <t>Porcentaje de pagos entregados</t>
  </si>
  <si>
    <t>pagos entregados</t>
  </si>
  <si>
    <t>Porcentaje de inasistencias presentadas</t>
  </si>
  <si>
    <t>inasistencias presentadas</t>
  </si>
  <si>
    <t>Porcentaje de enteros de impuestos entregados</t>
  </si>
  <si>
    <t>impuestos entregados</t>
  </si>
  <si>
    <t>Porcentaje de Òrdenes de Servicio levantadas</t>
  </si>
  <si>
    <t>Órdenes de Servicio</t>
  </si>
  <si>
    <t>Porcentaje de Òrdenes de Servicio atendidas</t>
  </si>
  <si>
    <t>Porcentaje de actualizaciones realizadas</t>
  </si>
  <si>
    <t>actualizaciones</t>
  </si>
  <si>
    <t>Porcentaje de Publicaciones realizadas</t>
  </si>
  <si>
    <t>Publicaciones</t>
  </si>
  <si>
    <t>Porcentaje de Informes de Avance de gestión entregados</t>
  </si>
  <si>
    <t>Informes de Avance de gestión</t>
  </si>
  <si>
    <t>Porcentaje de evaluaciones respondidas</t>
  </si>
  <si>
    <t>evaluaciones</t>
  </si>
  <si>
    <t>Asesoría Jurídica a personas Sujetas de Asistencia Social</t>
  </si>
  <si>
    <t>Tasa usuarios atendidos</t>
  </si>
  <si>
    <t>usuarios atendidos</t>
  </si>
  <si>
    <t>Tasa de asesorías otorgadas</t>
  </si>
  <si>
    <t>asesorías</t>
  </si>
  <si>
    <t>Porcentaje de Asesorías legales brindadas</t>
  </si>
  <si>
    <t>Porcentaje de Intervenciones de la unidad de primer contacto</t>
  </si>
  <si>
    <t>Intervenciones de la unidad de primer contacto</t>
  </si>
  <si>
    <t>Porcentaje de Cápsulas informativas y/o pláticas realizadas</t>
  </si>
  <si>
    <t>Cápsulas y/o pláticas realizadas</t>
  </si>
  <si>
    <t>Porcentaje de parejas y orientaciones legales realizadas</t>
  </si>
  <si>
    <t>Parejas legalmente casadas y orientaciones sobre testamentos</t>
  </si>
  <si>
    <t>Porcentaje de recorridos a semáforos y a cruceros</t>
  </si>
  <si>
    <t>Recorridos a semáforos y a cruceros</t>
  </si>
  <si>
    <t>Número de Audiencias otorgadas</t>
  </si>
  <si>
    <t>Audiencias</t>
  </si>
  <si>
    <t>Número de asesorías legales brindadas</t>
  </si>
  <si>
    <t>asesorias legales</t>
  </si>
  <si>
    <t>Número de mecanismo de denuncia establecidos</t>
  </si>
  <si>
    <t>mecanismo de denuncia</t>
  </si>
  <si>
    <t>Número de coordinaciones de protección y restitución de derechos</t>
  </si>
  <si>
    <t>coordinaciones de protección y restitución de derechos</t>
  </si>
  <si>
    <t>Número de atenciones canalizadas</t>
  </si>
  <si>
    <t>atenciones canalizadas</t>
  </si>
  <si>
    <t>Número de mecanismos de colaboración promovidos</t>
  </si>
  <si>
    <t>mecanismos de colaboración promovidos</t>
  </si>
  <si>
    <t>Número de asesorías legales otorgadas</t>
  </si>
  <si>
    <t>Número de intervenciones de la unidad de primer contacto</t>
  </si>
  <si>
    <t>intervenciones de la unidad de primer contacto</t>
  </si>
  <si>
    <t>Número de reportes de vulneración de derechos</t>
  </si>
  <si>
    <t>reportes de vulneración de derechos</t>
  </si>
  <si>
    <t>Número de intervenciones del equipo multidisciplinario</t>
  </si>
  <si>
    <t>Número de cápsulas informativas y/o pláticas AFAE</t>
  </si>
  <si>
    <t>cápsulas informativas y/o pláticas AFAE</t>
  </si>
  <si>
    <t>Tasa de Cápsulas Informativas y/o pláticas AFAE</t>
  </si>
  <si>
    <t>beneficiarios</t>
  </si>
  <si>
    <t>Número de recorridos</t>
  </si>
  <si>
    <t>recorridos</t>
  </si>
  <si>
    <t>intervenciones del equipo multidisciplinario</t>
  </si>
  <si>
    <t>Albergue temporal DIF Pachuca</t>
  </si>
  <si>
    <t>Tasa de niñas, niños, adolescentes y personas de familias migrantes que se les brindó protección temporal</t>
  </si>
  <si>
    <t>niños, adolescentes y personas de familias migrantes</t>
  </si>
  <si>
    <t>niñas, niños, adolescentes y personas de familias migrantes</t>
  </si>
  <si>
    <t>Porcentaje de niñas, niños y adolescentes albergados</t>
  </si>
  <si>
    <t>Niñas, Niños y Adolescentes Albergados</t>
  </si>
  <si>
    <t>Porcentaje de familias migrantes albergadas temporalmente</t>
  </si>
  <si>
    <t>Personas de familias migrantes albergadas</t>
  </si>
  <si>
    <t>Tasa de niñas, niños y adolescentes recibidos en el albergue</t>
  </si>
  <si>
    <t>niñas, niños y adolescentes recibidos en el albergue</t>
  </si>
  <si>
    <t>Tasa de niñas, niños y adolescentes egresados en el albergue</t>
  </si>
  <si>
    <t>Tasa de recepcionan de familias migrantes</t>
  </si>
  <si>
    <t>Familias Migrantes</t>
  </si>
  <si>
    <t>Tasa de egresos de familias migrantes</t>
  </si>
  <si>
    <t>Gestión y Vinculación Social</t>
  </si>
  <si>
    <t>Tasa de gestiones y programas implementados</t>
  </si>
  <si>
    <t>Gestiones y Programas</t>
  </si>
  <si>
    <t>Porcentaje de alianzas estratégicas implementadas</t>
  </si>
  <si>
    <t>Alianzas</t>
  </si>
  <si>
    <t>Porcentaje de apoyos eficientes entregados</t>
  </si>
  <si>
    <t>Apoyos eficientes entregados</t>
  </si>
  <si>
    <t>Porcentaje de capacitaciones replicadas</t>
  </si>
  <si>
    <t>Capacitaciones replicadas</t>
  </si>
  <si>
    <t>Número de gestiones apoyos eficientes entregados</t>
  </si>
  <si>
    <t>Número de reuniones de vinculación realizadas</t>
  </si>
  <si>
    <t>Número de asistencia a capacitaciones y eventos realizados</t>
  </si>
  <si>
    <t>Capacitaciones y Eventos</t>
  </si>
  <si>
    <t>CAIC Camelia</t>
  </si>
  <si>
    <t>Tasa de asistencias infantiles implementadas</t>
  </si>
  <si>
    <t>Asistencias Infantiles</t>
  </si>
  <si>
    <t>Tasa de M, P y/o T que llevan a sus hijos a CAIC</t>
  </si>
  <si>
    <t>M, P y/o T</t>
  </si>
  <si>
    <t>Porcentaje de servicios educativos realizados</t>
  </si>
  <si>
    <t>Servicios educativos integrales otorgados</t>
  </si>
  <si>
    <t>Porcentaje de alimentos otorgados</t>
  </si>
  <si>
    <t>Alimentos otorgados</t>
  </si>
  <si>
    <t>Tasa de pláticas y conferencias realizadas</t>
  </si>
  <si>
    <t>pláticas y conferencias</t>
  </si>
  <si>
    <t>Tasa de clausuras de fin de ciclo realizadas</t>
  </si>
  <si>
    <t>clausuras</t>
  </si>
  <si>
    <t>Tasa de festividades celebradas</t>
  </si>
  <si>
    <t>festividades</t>
  </si>
  <si>
    <t>Tasa de alumnos que asisten</t>
  </si>
  <si>
    <t>alumnos</t>
  </si>
  <si>
    <t>Tasa de centros administrados</t>
  </si>
  <si>
    <t>centros</t>
  </si>
  <si>
    <t>Tasa de desayunos otorgados</t>
  </si>
  <si>
    <t>desayunos</t>
  </si>
  <si>
    <t>Tasa de comidas otorgados</t>
  </si>
  <si>
    <t>comidas</t>
  </si>
  <si>
    <t>CAIC La Raza</t>
  </si>
  <si>
    <t>CAIC Nopancalco</t>
  </si>
  <si>
    <t>CAIC Plutarco</t>
  </si>
  <si>
    <t>CAIC Santa Julia</t>
  </si>
  <si>
    <t>CAIC Tlapacoya</t>
  </si>
  <si>
    <t>CAIC Guadalupe</t>
  </si>
  <si>
    <t>servicios</t>
  </si>
  <si>
    <t>Centros de Desarrollo Comunitario</t>
  </si>
  <si>
    <t>habilidades</t>
  </si>
  <si>
    <t>Tasa de acciones que contribuyen al fortalecimiento de conductas, habilidades y aptitudes realizadas</t>
  </si>
  <si>
    <t>Niñas y niños beneficiados</t>
  </si>
  <si>
    <t>Porcentaje de pláticas, talleres y consultas otorgadas.</t>
  </si>
  <si>
    <t>Consultas otorgadas</t>
  </si>
  <si>
    <t>Porcentaje de becas otorgados.</t>
  </si>
  <si>
    <t>Apoyos de Becas Otorgadas</t>
  </si>
  <si>
    <t>Tasa de terapias psicológicas</t>
  </si>
  <si>
    <t>terapias psicológicas</t>
  </si>
  <si>
    <t>Tasa de talleres realizados</t>
  </si>
  <si>
    <t>talleres</t>
  </si>
  <si>
    <t>Tasa de conferencias realizados</t>
  </si>
  <si>
    <t>conferencias</t>
  </si>
  <si>
    <t>Tasa de becas realizadas</t>
  </si>
  <si>
    <t>becas</t>
  </si>
  <si>
    <t>Programas Alimentarios</t>
  </si>
  <si>
    <t>Tasa de niñas y niños con mejoras en su condición nutricia</t>
  </si>
  <si>
    <t>Porcentaje de población atendida</t>
  </si>
  <si>
    <t>Desayunos escolares fríos otorgados en centros educativos de educación básica</t>
  </si>
  <si>
    <t>Desayunos fríos otorgados.</t>
  </si>
  <si>
    <t>Desayunos escolares calientes otorgados en centros educativos de educación media</t>
  </si>
  <si>
    <t>Desayunos calientes otorgados.</t>
  </si>
  <si>
    <t>Brindar alimentación a la ciudadanía pachuqueña mediante un bajo costo de recuperación</t>
  </si>
  <si>
    <t>Alimentos otorgados Espacios de Alimentación</t>
  </si>
  <si>
    <t>Otorgar dotaciones alimentarias a bajo costo a personas adultas mayores y personas con discapacidad</t>
  </si>
  <si>
    <t>Dotaciones otorgadas</t>
  </si>
  <si>
    <t>Número de tomas de medidas antropométricas</t>
  </si>
  <si>
    <t>medidas antropométricas</t>
  </si>
  <si>
    <t>Número de integración de comités</t>
  </si>
  <si>
    <t>comités</t>
  </si>
  <si>
    <t>antropométricas</t>
  </si>
  <si>
    <t>Número de Mantenimientos</t>
  </si>
  <si>
    <t>Mantenimientos</t>
  </si>
  <si>
    <t>Número de comidas otorgadas</t>
  </si>
  <si>
    <t>Número de mantenimientos</t>
  </si>
  <si>
    <t>mantenimientos</t>
  </si>
  <si>
    <t>Número de pláticas nutricionales realizadas</t>
  </si>
  <si>
    <t>pláticas nutricionales</t>
  </si>
  <si>
    <t>Número de expedientes y padrón de beneficiarios realizadas</t>
  </si>
  <si>
    <t>expedientes y padrón de beneficiarios</t>
  </si>
  <si>
    <t>Número de dotaciones entregadas</t>
  </si>
  <si>
    <t>dotaciones</t>
  </si>
  <si>
    <t>Número de campañas de nutrición y buena alimentación a personas en situación de vulnerabilidad realizadas</t>
  </si>
  <si>
    <t>campañas</t>
  </si>
  <si>
    <t>Ludoteca</t>
  </si>
  <si>
    <t>Porcentaje de población infantil beneficiada</t>
  </si>
  <si>
    <t>Tasa de población infantil beneficiada</t>
  </si>
  <si>
    <t>Población infantil</t>
  </si>
  <si>
    <t>Promover que las niñas y niños del Municipio de Pachuca tenga acceso a servicios de creativos, donde promuevan una sana convivencia</t>
  </si>
  <si>
    <t>Eficientizar los procesos para llevar a cabo un debido control del ingreso de los visitantes a las instalaciones de la Ludoteca</t>
  </si>
  <si>
    <t>Reportes de niñas y niños beneficiados</t>
  </si>
  <si>
    <t>Número de actividades lúdicas realizadas</t>
  </si>
  <si>
    <t>actividades lúdicas</t>
  </si>
  <si>
    <t>Número de listados de reportes mensuales</t>
  </si>
  <si>
    <t>listados de reportes</t>
  </si>
  <si>
    <t>Bioparque</t>
  </si>
  <si>
    <t>Porcentaje de Población Atendida</t>
  </si>
  <si>
    <t>Tasa de Población Atendida</t>
  </si>
  <si>
    <t>Brindar un espacio digno para las niñas, niños y adolescentes del Municipio de Pachuca</t>
  </si>
  <si>
    <t>Brindar actividades recreativas a las niñas, niños y adolescentes del Municipio de Pachuca, los cuales permitan un óptimo desarrollo</t>
  </si>
  <si>
    <t>Actividades Recreativas Realizadas</t>
  </si>
  <si>
    <t>Número de actividades, talleres y pláticas realizadas</t>
  </si>
  <si>
    <t>actividades, talleres y pláticas</t>
  </si>
  <si>
    <t>solicitudes</t>
  </si>
  <si>
    <t>actividades</t>
  </si>
  <si>
    <t>Servicios Médicos, Odontológicos, Nutricionales y Estudios de Gabinete</t>
  </si>
  <si>
    <t>Tasa de atenciones médicas</t>
  </si>
  <si>
    <t>Atenciones médicas</t>
  </si>
  <si>
    <t>Serie de datos e información recabada mediante las consultas y estudios realizados en el Centro de Atención Médica y Diagnóstico con el propósito de evaluar su estado actual y su evolución a través del tiempo</t>
  </si>
  <si>
    <t>Servicios médicos</t>
  </si>
  <si>
    <t>Serie de datos e información recabada mediante las campañas de salud con el propósito de evaluar su impacto en la población</t>
  </si>
  <si>
    <t>Número de servicios realizados en medicina general</t>
  </si>
  <si>
    <t>Número de servicios realizados en consulta odontológica</t>
  </si>
  <si>
    <t>Número de valoraciones médicas brindadas</t>
  </si>
  <si>
    <t>valoraciones</t>
  </si>
  <si>
    <t>Número de servicios realizados en consulta optométrica y ortopédica</t>
  </si>
  <si>
    <t>Número de estudios de rayos x realizados</t>
  </si>
  <si>
    <t>estudios</t>
  </si>
  <si>
    <t>Número de estudios de mastografía realizados</t>
  </si>
  <si>
    <t>Número de estudios de ultrasonido realizados</t>
  </si>
  <si>
    <t>Número de servicios en consulta nutricional</t>
  </si>
  <si>
    <t>Número de servicios otorgados en atención a la salud itinerante</t>
  </si>
  <si>
    <t>Número de mujeres beneficiadas con las campañas</t>
  </si>
  <si>
    <t>mujeres</t>
  </si>
  <si>
    <t>Número de personas beneficiadas con temas de prevención y promoción a la salud</t>
  </si>
  <si>
    <t>personas</t>
  </si>
  <si>
    <t>Estudios de Laboratorio</t>
  </si>
  <si>
    <t>Tasa de estudios entregados</t>
  </si>
  <si>
    <t>población</t>
  </si>
  <si>
    <t>Serie de datos e información recabados en el laboratorio de análisis clínicos del Centro de Atención Médica y Diagnóstico con el propósito de evaluar su estado actual y su evolución a través del tiempo</t>
  </si>
  <si>
    <t>Serie de datos e información recabados en el laboratorio de análisis clínicos de la Unidad Básica de Rehabilitación con el propósito de evaluar su estado actual y su evolución a través del tiempo</t>
  </si>
  <si>
    <t>Número de estudios de laboratorio realizados</t>
  </si>
  <si>
    <t>Número de análisis clínicos realizados</t>
  </si>
  <si>
    <t>análisis</t>
  </si>
  <si>
    <t>Número de estudios de laboratorio tomados</t>
  </si>
  <si>
    <t>Número de estudios de laboratorio procesados</t>
  </si>
  <si>
    <t>Unidad Básica de Rehabilitación</t>
  </si>
  <si>
    <t>Tasa de servicios de rehabilitación otorgados</t>
  </si>
  <si>
    <t>Serie de datos e información recabada mediante las consultas y terapias realizadas en la Unidad Básica de Rehabilitación con el propósito de evaluar su estado actual y su evolución a través del tiempo</t>
  </si>
  <si>
    <t>Consultas y terapias</t>
  </si>
  <si>
    <t>Serie de datos e información recabada mediante el traslado de usuarios a la Unidad Básica de Rehabilitación o centros médicos con el propósito de evaluar su estado actual y su evolución a través del tiempo</t>
  </si>
  <si>
    <t>Usuarios trasladados</t>
  </si>
  <si>
    <t>Terapias de estimulación multisensorial.</t>
  </si>
  <si>
    <t>Número de consultas médicas en materia de rehabilitación brindadas</t>
  </si>
  <si>
    <t>consultas</t>
  </si>
  <si>
    <t>Número de terapias físicas realizadas</t>
  </si>
  <si>
    <t>terapias</t>
  </si>
  <si>
    <t>Número de terapias ocupacionales realizadas</t>
  </si>
  <si>
    <t>Número de servicios brindados</t>
  </si>
  <si>
    <t>Número de usuarios trasladados</t>
  </si>
  <si>
    <t>usuarios</t>
  </si>
  <si>
    <t>Número de terapias de estimulación multisensorial realizadas</t>
  </si>
  <si>
    <t>Difundir contenido educativo, así como los servicios y acciones realizadas por el Sistema DIF Pachuca</t>
  </si>
  <si>
    <t>Tasa de materiales difundidos</t>
  </si>
  <si>
    <t>materiales</t>
  </si>
  <si>
    <t>Porcentaje de materiales difundidos</t>
  </si>
  <si>
    <t>Brindar información de manera veraz a la ciudadanía sobre los acontecimientos más relevantes del Sistema DIF Municipal</t>
  </si>
  <si>
    <t>Pies de foto y fotografías difundidas.</t>
  </si>
  <si>
    <t>Acercar a la población información sobre apoyos, eventos y servicios que ofrece el Sistema DIF Municipal, de manera eficaz y creativa</t>
  </si>
  <si>
    <t>Videos e imágenes elaboradas.</t>
  </si>
  <si>
    <t>Número de información y fotografías para la elaboración de pies de foto recopilada</t>
  </si>
  <si>
    <t>información</t>
  </si>
  <si>
    <t>Número de pies de foto y fotografías elaboradas y editadas</t>
  </si>
  <si>
    <t>pies</t>
  </si>
  <si>
    <t>Número de pies de fotos enviados y publicaciones realizadas</t>
  </si>
  <si>
    <t>Número de formatos de solicitud recibidos</t>
  </si>
  <si>
    <t>formatos</t>
  </si>
  <si>
    <t>Número de vídeos e imágenes elaboradas</t>
  </si>
  <si>
    <t>vídeos</t>
  </si>
  <si>
    <t>Número de vídeos e imágenes entregadas</t>
  </si>
  <si>
    <t>Talleres y Pláticas para Avanzar en Familia</t>
  </si>
  <si>
    <t>Tasa del número de pláticas y talleres brindados</t>
  </si>
  <si>
    <t>número</t>
  </si>
  <si>
    <t>Porcentaje de personas atendidas</t>
  </si>
  <si>
    <t>Brindar talleres psico-educativos para brindar herramientas que permitan mejorar la calidad de vida de la población pachuqueña</t>
  </si>
  <si>
    <t>Talleres Psico-Educativos</t>
  </si>
  <si>
    <t>Brindar pláticas psico-educativos para brindar herramientas que permitan mejorar la calidad de vida de la población pachuqueña</t>
  </si>
  <si>
    <t>Pláticas Psico-Educativos</t>
  </si>
  <si>
    <t>Se brindan actividades lúdicas recreativas y psicoeducativas a niñas,niños y adolescentes, con la finalidad de mejorar su desarrollo socio emocional</t>
  </si>
  <si>
    <t>Actividades Lúdicas</t>
  </si>
  <si>
    <t>Número de talleres impartidos</t>
  </si>
  <si>
    <t>pláticas</t>
  </si>
  <si>
    <t>Número de pláticas de inducción</t>
  </si>
  <si>
    <t>Número de actividades lúdicas impartidas</t>
  </si>
  <si>
    <t>Número de asistentes a la Clausura de Curso de Verano</t>
  </si>
  <si>
    <t>asistentes</t>
  </si>
  <si>
    <t>Atención Psicológica y Terapia de Lenguaje y Aprendizaje</t>
  </si>
  <si>
    <t>Tasa de atención y acompañamiento psicológico brindados</t>
  </si>
  <si>
    <t>atención</t>
  </si>
  <si>
    <t>Porcentaje de niñas, niños y adolescentes y personas usuarias atendidas, que requieran atención a menor costo</t>
  </si>
  <si>
    <t>niñas</t>
  </si>
  <si>
    <t>Brindar atención y acompañamiento psicológico a niñas,niños, adolescentes y adultos pachuqueños con la finalidad de brindar bienestar emocional y social para obtener una mejor calidad de vida</t>
  </si>
  <si>
    <t>Consultas Psicológicas</t>
  </si>
  <si>
    <t>Brindar atención especializada a niñas, niños y adolescentes que presentan deficiencias en los procesos de la comunicación humana, con el fin de establecer o restablecer las habilidades tanto lingüísticas como cognitivas no desarrolladas o alteradas</t>
  </si>
  <si>
    <t>Atención y detección de trastornos de lenguaje y aprendizaje</t>
  </si>
  <si>
    <t>Número de entrevistas de primer contacto a la atención psicológica realizadas</t>
  </si>
  <si>
    <t>entrevistas</t>
  </si>
  <si>
    <t>Número de casos atendidos</t>
  </si>
  <si>
    <t>casos</t>
  </si>
  <si>
    <t>Número de entrevistas de primer contacto a la atención de Terapia de Lenguaje y Aprendizaje</t>
  </si>
  <si>
    <t>Unidad de Primer Contacto</t>
  </si>
  <si>
    <t>Porcentaje de reportes atendidos</t>
  </si>
  <si>
    <t>Tasa de reportes atendidos</t>
  </si>
  <si>
    <t>reportes</t>
  </si>
  <si>
    <t>Brindar atención oportuna con perspectiva de género, derechos humanos y de infancias a NNA en situaciones de vulnerabilidad o restitución de derechos</t>
  </si>
  <si>
    <t>Generar el primer contacto psicológico con la finalidad de crear una relación interpersonal entre NNA, para intercambiar información de forma segura y respetuosa, brindando acompañamiento cuando sea vulnerado algún derecho</t>
  </si>
  <si>
    <t>Intervenciones psicológicas por reportes atendidos</t>
  </si>
  <si>
    <t>Número de intervenciones</t>
  </si>
  <si>
    <t>intervenciones</t>
  </si>
  <si>
    <t>Número de identificación de vulneración de derechos</t>
  </si>
  <si>
    <t>identificación</t>
  </si>
  <si>
    <t>Número de intervenciones psicológicas por reportes de violencia a niñas, niños y adolescentes</t>
  </si>
  <si>
    <t>Estancia DIF y Lactario DIF</t>
  </si>
  <si>
    <t>Tasa de niñas y niños atendidos</t>
  </si>
  <si>
    <t>Porcentaje de niñas y niños que reciben el servicio de cuidado infantil</t>
  </si>
  <si>
    <t>Brindar apoyo y servicio a niñas, niños y adolescentes en condiciones de vulnerabilidad mediante un espacio para jugar y estimular el desarrollo cognitivo, psicomotor y socioafectivo</t>
  </si>
  <si>
    <t>Atención</t>
  </si>
  <si>
    <t>Promover el uso del lactario con un espacio digno para las madres trabajadoras del Sistema DIF Municipal</t>
  </si>
  <si>
    <t>Número de niñas y niños atendidos</t>
  </si>
  <si>
    <t>Número de trabajadoras que acudan al lactario</t>
  </si>
  <si>
    <t>trabajadoras</t>
  </si>
  <si>
    <t>Apoyos Asistenciales</t>
  </si>
  <si>
    <t>Tasa de apoyos asistenciales, nutricionales  y de abrigo otorgados</t>
  </si>
  <si>
    <t>apoyos</t>
  </si>
  <si>
    <t>Porcentaje de apoyos asistenciales, nutricionales y de abrigo otorgados</t>
  </si>
  <si>
    <t>Contar con un catálogo de servicios vigentes y aprobados, para ofrecer apoyos asistenciales, de orientación y/o funcionales a la población en general perteneciente al Municipio de Pachuca</t>
  </si>
  <si>
    <t>Apoyos otorgados</t>
  </si>
  <si>
    <t>Gestionar y trabajar en conjunto mediante una campaña de responsabilidad social llamada “Reciclar para cobijar” en colaboración con Corporación Rica recaudando material para reciclado (PET, cartón, lata, etc.) para ser procesado y a fin de año lograr otorgar los apoyos a familias de atención prioritaria</t>
  </si>
  <si>
    <t>Cobijas otorgadas</t>
  </si>
  <si>
    <t>Gestionar beneficios con empresas socialmente responsables que otorgan donaciones en especie sirviendo como apoyo en la economía de las familias del Municipio así como generar actividad productiva en los jefes o jefas de familia</t>
  </si>
  <si>
    <t>Gestiones interinstitucionales otorgadas</t>
  </si>
  <si>
    <t>A través de gestiones por medio de instituciones públicas y privadas se otorgan apoyos funcionales para personas con alguna discapacidad o necesidad funcional</t>
  </si>
  <si>
    <t>Apoyos Funcionales Otorgados</t>
  </si>
  <si>
    <t>cédulas</t>
  </si>
  <si>
    <t>expedientes</t>
  </si>
  <si>
    <t>Número de beneficiarios viables</t>
  </si>
  <si>
    <t>Becas W-15</t>
  </si>
  <si>
    <t>Tasa de beneficiarios que consideran que el programa Becas W-15 fortalece sus oportunidades educativas</t>
  </si>
  <si>
    <t>Porcentaje de niños y niñas beneficiados con el programa Becas W-15 que no abandonan sus estudios</t>
  </si>
  <si>
    <t>niños</t>
  </si>
  <si>
    <t>Contribuir a que los niños y niñas que cursan de 1° a 5° año de educación primaria en escuelas públicas del municipio de Pachuca y que mantienen un promedio mínimo de 8, no abandonen sus estudios por situación de vulnerabilidad económica y alimentaria</t>
  </si>
  <si>
    <t>Orientar de manera eficaz y oportuna a los usuarios que se acerquen a solicitar información para recibir algún tipo de servicio ofertado</t>
  </si>
  <si>
    <t>Escuelas Informadas Oportunamente</t>
  </si>
  <si>
    <t>Número de información de la Coordinación de Asistencia Social</t>
  </si>
  <si>
    <t>Número de escuelas públicas dentro del programa que reciben oportunamente la información sobre las becas a otorgarse</t>
  </si>
  <si>
    <t>escuelas</t>
  </si>
  <si>
    <t>Club de las y los Adultos Mayores</t>
  </si>
  <si>
    <t>Tasa de beneficiarios que se mantienen activos en las actividades impartidas por el Club del Adulto Mayor</t>
  </si>
  <si>
    <t>PBMAA=NBMAA1+NBMAA2+...NBMAAn</t>
  </si>
  <si>
    <t>Impartir clases de manera constante como parte del programa integral con el que cuenta el Club del Adulto Mayor, para ofrecer un envejecimiento saludable</t>
  </si>
  <si>
    <t>Clases impartidas</t>
  </si>
  <si>
    <t>Ofrecer talleres de manera periódica como capacitación a los adultos mayores en cuanto al desarrollo de sus habilidades, como herramienta para el autoempleo y actividades recreativas</t>
  </si>
  <si>
    <t>Talleres y pláticas impartidos</t>
  </si>
  <si>
    <t>Implementar las actividades recreativas y tradicionales por parte del desarrollo social de las personas adultas mayores, impulsando sus niveles de desempeño cultural, físico y mental</t>
  </si>
  <si>
    <t>Contar con un padrón de beneficiarios permanentes dentro del Club del Adulto Mayor para mantener la participación e integración constante, dejando abierta la posibilidad de nuevos ingresos, que gusten ser parte de un envejecimiento exitoso</t>
  </si>
  <si>
    <t>Beneficiarios activos</t>
  </si>
  <si>
    <t>Número de asistencias registradas</t>
  </si>
  <si>
    <t>asistencias</t>
  </si>
  <si>
    <t>Número de listas de asistencia</t>
  </si>
  <si>
    <t>listas</t>
  </si>
  <si>
    <t>Número de beneficiarios activos</t>
  </si>
  <si>
    <t>Coordinación de la Secretaría de Obras Públicas, Desarrollo Urbano, Vivienda y Movilidad</t>
  </si>
  <si>
    <t>Porcentaje de cumplimiento de los proyectos programados</t>
  </si>
  <si>
    <t>Proyectos programados</t>
  </si>
  <si>
    <t>Secretaría de Obras Públicas, Desarrollo Urbano, Vivienda y Movilidad</t>
  </si>
  <si>
    <t>Porcentaje de cumplimiento de peticiones atendidas</t>
  </si>
  <si>
    <t>peticiones atendidas</t>
  </si>
  <si>
    <t>Porcentaje de reuniones de coordinacion Planeacion, programacion y presupuestacion para la ejecucion, conservacion, mantenimiento y control de obra pública realizadas</t>
  </si>
  <si>
    <t>Porcentaje de reuniones para programar las políticas de ordenamiento territorial, desarrollo urbano, de suelo y reservas territoriales del municipio realizadas</t>
  </si>
  <si>
    <t>reuniones para programar</t>
  </si>
  <si>
    <t>Porcentaje de reuniones para proponer mejores políticas en materia de vivienda, movilidad sustentable y conservación de Centro Histórico realizadas</t>
  </si>
  <si>
    <t>Porcentaje de reuniones de sesiones del COPLADEM realizadas</t>
  </si>
  <si>
    <t>Porcentaje de reuniones de seguimiento y cumplimiento de obra pública realizada</t>
  </si>
  <si>
    <t>Reuniones de seguimiento y cumplimiento de obra pública realizada</t>
  </si>
  <si>
    <t>Porcentaje de reuniones de seguimiento y cumplimiento de desarrollo urbano del municipio realizadas</t>
  </si>
  <si>
    <t>Porcentaje de reuniones de seguimiento y cumplimiento en materia de vivienda, movilidad y conservación del Centro Histórico realizadas</t>
  </si>
  <si>
    <t>Porcentaje de reuniones de autorización y seguimiento del COPLADEM realizadas</t>
  </si>
  <si>
    <t>Supervisión, vigilancia, ejecución y entrega de obra pública e infraestructura</t>
  </si>
  <si>
    <t>Índice de cumplimiento de obra</t>
  </si>
  <si>
    <t>Cumplimiento de obra</t>
  </si>
  <si>
    <t>Dirección de Obras Públicas</t>
  </si>
  <si>
    <t>Número de obras entregadas</t>
  </si>
  <si>
    <t>Obras entregadas</t>
  </si>
  <si>
    <t>Porcentaje de supervisión de obras ejecutadas.</t>
  </si>
  <si>
    <t>Supervisión de obras ejecutadas</t>
  </si>
  <si>
    <t>Número de actas de inicio de obra integradas</t>
  </si>
  <si>
    <t>Actas de inicio de obra integradas</t>
  </si>
  <si>
    <t>Número de Obras Públicas e Infraestructura ejecutadas</t>
  </si>
  <si>
    <t>Obras Públicas e Infraestructura ejecutadas</t>
  </si>
  <si>
    <t>Número de obras concluidas</t>
  </si>
  <si>
    <t>Obras concluidas</t>
  </si>
  <si>
    <t>Número de expedientes técnicos integrados</t>
  </si>
  <si>
    <t>Expedientes técnicos integrados</t>
  </si>
  <si>
    <t>1 Pachuca Honesta, Cercana y Moderna
5 Pachuca con Infraestructura y Servicios de Calidad</t>
  </si>
  <si>
    <t>Aplicación de mejoras regulatorias para vigilar los asentamientos humanos y el desarrollo urbano del municipio</t>
  </si>
  <si>
    <t>Índice de trámites realizados</t>
  </si>
  <si>
    <t>Trámites realizados</t>
  </si>
  <si>
    <t>Dirección de Desarrollo Urbano</t>
  </si>
  <si>
    <t>Porcentaje de permisos emitidos</t>
  </si>
  <si>
    <t>Permisos emitidos</t>
  </si>
  <si>
    <t>Número de licencia de uso de suelo emitidas</t>
  </si>
  <si>
    <t>Licencias de uso de suelo entregadas</t>
  </si>
  <si>
    <t>Número de licencia de construcción emitidas</t>
  </si>
  <si>
    <t>Licencias Entregadas</t>
  </si>
  <si>
    <t>Número de licencia de urbanización emitidas</t>
  </si>
  <si>
    <t>Número de licencias de anuncios publicitarios emitidas</t>
  </si>
  <si>
    <t>Licencias de anuncios publicitarios entregadas</t>
  </si>
  <si>
    <t>Número de licencia de uso de suelo autorizadas</t>
  </si>
  <si>
    <t>Licencia de uso de suelo autorizadas</t>
  </si>
  <si>
    <t>Número de licencia de construcción autorizadas</t>
  </si>
  <si>
    <t>Licencia de construcción autorizadas</t>
  </si>
  <si>
    <t>Número de licencia de urbanización autorizadas</t>
  </si>
  <si>
    <t>Licencia de urbanización autorizadas</t>
  </si>
  <si>
    <t>Número de licencias de anuncios publicitarios autorizadas</t>
  </si>
  <si>
    <t>Licencias de anuncios publicitarios autorizadas</t>
  </si>
  <si>
    <t>5 Pachuca con Infraestructura y servicios de calidad</t>
  </si>
  <si>
    <t>Elaboración eficiente de Expedientes Técnicos y Proyectos</t>
  </si>
  <si>
    <t>Porcentaje de Expedientes Técnicos elaborados correctamente</t>
  </si>
  <si>
    <t>Expedientes Técnicos elaborados correctamente</t>
  </si>
  <si>
    <t>Dirección de Estudios y Proyectos</t>
  </si>
  <si>
    <t>Porcentaje de Expedientes Técnicos terminados</t>
  </si>
  <si>
    <t>Expedientes Técnicos terminados</t>
  </si>
  <si>
    <t>Porcentaje de Expedientes Técnicos validados</t>
  </si>
  <si>
    <t>Expedientes Técnicos elaborados</t>
  </si>
  <si>
    <t>Porcentaje de visitas de inspección de peticiones ciudadanas realizadas</t>
  </si>
  <si>
    <t>Visitas de inspección realizadas</t>
  </si>
  <si>
    <t>Número de presupuestos y expedientes integrados</t>
  </si>
  <si>
    <t>Presupuestos y expedientes integrados</t>
  </si>
  <si>
    <t>Número de obras con normas de seguridad en la materia</t>
  </si>
  <si>
    <t>La construcción de obras de uso lúdico o formativo que cumplen con las normas de seguridad para las niñas, niños y adolescentes</t>
  </si>
  <si>
    <t>Número de peticiones ciudadanas atendidas</t>
  </si>
  <si>
    <t>Peticiones ciudadanas atendidas</t>
  </si>
  <si>
    <t>Número de levantamientos y visitas de inspección</t>
  </si>
  <si>
    <t>Levantamientos y visitas de inspección</t>
  </si>
  <si>
    <t>Vivienda digna para la población en situación de vulnerabilidad dentro del municipio</t>
  </si>
  <si>
    <t>Índice de mejora en la calidad de vida logrado</t>
  </si>
  <si>
    <t>Calidad de vida logrado</t>
  </si>
  <si>
    <t>Dirección de Vivienda</t>
  </si>
  <si>
    <t>Porcentaje de mejoramiento de vivienda e infraestructura urbana</t>
  </si>
  <si>
    <t>Mejoramiento de vivienda e infraestructura urbana</t>
  </si>
  <si>
    <t>Porcentaje de diagnósticos para el apoyo en el mejoramiento de vivienda realizada.</t>
  </si>
  <si>
    <t>Diagnósticos para el Apoyo en el Mejoramiento de Vivienda</t>
  </si>
  <si>
    <t>Porcentaje de participación ciudadana a través de comités conformados.</t>
  </si>
  <si>
    <t>Participación Ciudadana y Comités Conformados</t>
  </si>
  <si>
    <t>Porcentaje de generación de proyectos en materia de vivienda y equipamiento de espacios públicos.</t>
  </si>
  <si>
    <t>Proyectos en Materia de Vivienda y Equipamiento de Espacios Públicos elaborados</t>
  </si>
  <si>
    <t>Número de colaboraciones realizadas</t>
  </si>
  <si>
    <t>Número de encuestas y cuestionarios realizados</t>
  </si>
  <si>
    <t>Encuestas y cuestionarios realizados</t>
  </si>
  <si>
    <t>Número de comités de obra realizados</t>
  </si>
  <si>
    <t>Comités de obra realizados</t>
  </si>
  <si>
    <t>Número de proyectos realizados</t>
  </si>
  <si>
    <t>Proyectos realizados</t>
  </si>
  <si>
    <t>Conservación y ordenamiento del patrimonio arquitectónico, monumental y artístico del centro histórico</t>
  </si>
  <si>
    <t>Índice de conservación del patrimonio arquitectónico, histórico, artístico e industrial del Centro Histórico</t>
  </si>
  <si>
    <t>Conservación del patrimonio arquitectónico, histórico, artístico e industrial del Centro Histórico</t>
  </si>
  <si>
    <t>Dirección de Centro Histórico</t>
  </si>
  <si>
    <t>Porcentaje de avance en la integración de la reglamentación</t>
  </si>
  <si>
    <t>Avance en la integración de la reglamentación</t>
  </si>
  <si>
    <t>Porcentaje de proyectos integrados</t>
  </si>
  <si>
    <t>Número de expedientes generados</t>
  </si>
  <si>
    <t>Expedientes generados</t>
  </si>
  <si>
    <t>Porcentaje de cursos efectuados</t>
  </si>
  <si>
    <t>Cursos efectuados</t>
  </si>
  <si>
    <t>Número de diagnósticos generados</t>
  </si>
  <si>
    <t>Diagnósticos generados</t>
  </si>
  <si>
    <t>Mantenimiento y preservación de la imagen e Infraestructura Urbana</t>
  </si>
  <si>
    <t>Porcentaje de acciones de atención y conservación realizadas</t>
  </si>
  <si>
    <t>Acciones de atención y conservación realizadas</t>
  </si>
  <si>
    <t>Dirección de Movilidad</t>
  </si>
  <si>
    <t>Porcentaje de avance de mantenimiento realizado</t>
  </si>
  <si>
    <t>Avance de mantenimiento realizado</t>
  </si>
  <si>
    <t>Porcentaje de bacheo realizado en la infraestructura vial</t>
  </si>
  <si>
    <t>Metros cuadrados de bacheo realizados en la infraestructura vial</t>
  </si>
  <si>
    <t>Porcentaje de banquetas, andadores, rampas escalinatas y escalinatas.</t>
  </si>
  <si>
    <t>Metros cuadrados de banquetas, andadores, rampas atendidos</t>
  </si>
  <si>
    <t>Porcentaje de piezas de rejillas, pozos de visita, registros, fosas sépticas, boca tormentas atendidos (desazolves y sondeos)</t>
  </si>
  <si>
    <t>Número de piezas de rejillas, pozos de visita, registros, fosas sépticas, boca tormentas atendidos (desazolves y sondeos)</t>
  </si>
  <si>
    <t>Porcentaje de piezas de rehabilitación, mantenimiento y conservación al alcantarillado pluvial e imagen urbana</t>
  </si>
  <si>
    <t>Número de piezas de rehabilitación, mantenimiento y conservación al alcantarillado pluvial e imagen urbana</t>
  </si>
  <si>
    <t>Porcentaje de aplicación de pintura en guarniciones, señalamiento horizontal.</t>
  </si>
  <si>
    <t>Metros cuadrados de pintura en guarniciones, señalamiento horizontal.</t>
  </si>
  <si>
    <t>Porcentaje aplicación de pintura en canchas y muros.</t>
  </si>
  <si>
    <t>Metros cuadrados de aplicación de pintura en canchas y muros.</t>
  </si>
  <si>
    <t>Porcentaje de limpieza y deshierbe en drenes pluviales y cunetas pluviales</t>
  </si>
  <si>
    <t>Metros lineales de limpieza y deshierbe en drenes pluviales y cunetas pluviales</t>
  </si>
  <si>
    <t>Porcentaje de proyectos arquitectónicos integrados</t>
  </si>
  <si>
    <t>Proyectos integrados arquitectónicos</t>
  </si>
  <si>
    <t>Porcentaje de señalamientos verticales</t>
  </si>
  <si>
    <t>Metros cuadrados de bacheo realizados</t>
  </si>
  <si>
    <t>Metros cuadrados</t>
  </si>
  <si>
    <t>Metros cuadrados de banquetas construidas</t>
  </si>
  <si>
    <t>Metros cuadrados de andadores construidos</t>
  </si>
  <si>
    <t>Metros cuadrados de construcción de rampas</t>
  </si>
  <si>
    <t>No. de rejillas pluviales</t>
  </si>
  <si>
    <t>Rejillas Pluviales</t>
  </si>
  <si>
    <t>No. de pozos de visita</t>
  </si>
  <si>
    <t>Sondeo de pozos</t>
  </si>
  <si>
    <t>No. de registros</t>
  </si>
  <si>
    <t>Sondeo de registros</t>
  </si>
  <si>
    <t>No. de fosas sépticas</t>
  </si>
  <si>
    <t>Sondeo de fosas sépticas</t>
  </si>
  <si>
    <t>No. de bocas tormentas</t>
  </si>
  <si>
    <t>Limpieza de bocas de tormenta</t>
  </si>
  <si>
    <t>Desazolve de rejillas pluviales</t>
  </si>
  <si>
    <t>No. de Piezas reparadas de rejillas pluviales</t>
  </si>
  <si>
    <t>Piezas reparadas de rejillas pluviales</t>
  </si>
  <si>
    <t>No. de Piezas repuestas de rejillas pluviales</t>
  </si>
  <si>
    <t>Piezas repuestas de rejillas pluviales</t>
  </si>
  <si>
    <t>No. de piezas retiradas y colocadas de rejillas de mantenimiento al Sistema de Drenaje Pluvial</t>
  </si>
  <si>
    <t>Piezas retiradas y colocadas de rejillas de mantenimiento al Sistema de Drenaje Pluvial</t>
  </si>
  <si>
    <t>No Piezas. de brocales y tapas de registros rehabilitados y reparados</t>
  </si>
  <si>
    <t>Piezas de brocales y tapas de registros rehabilitados y reparados</t>
  </si>
  <si>
    <t>Metros cuadrados de pintura en guarniciones</t>
  </si>
  <si>
    <t>Metros cuadrados de pintura en señalamiento horizontal</t>
  </si>
  <si>
    <t>Metros cuadrados de pintura en muros</t>
  </si>
  <si>
    <t>Metros cuadrados de pintura en canchas de usos múltiples</t>
  </si>
  <si>
    <t>ml Limpieza y deshierbe de dren pluvial</t>
  </si>
  <si>
    <t>Mililitros</t>
  </si>
  <si>
    <t>ml Limpieza y deshierbe de cuneta pluvial</t>
  </si>
  <si>
    <t>Proyectos integrados arquitectónicos de acuerdo a los lineamientos vigentes</t>
  </si>
  <si>
    <t>Proyectos integrados arquitectónicos de acuerdo a leyes y reglamentos vigentes</t>
  </si>
  <si>
    <t>No. de Piezas de señalamientos verticales</t>
  </si>
  <si>
    <t>Piezas de señalamientos verticales</t>
  </si>
  <si>
    <t>Control Financiero y Administrativo de los Recursos Ejecutados por la Secretaría</t>
  </si>
  <si>
    <t>Porcentaje de la ejecución de los recursos ejercidos con lo programado</t>
  </si>
  <si>
    <t>Ejecución de los recursos</t>
  </si>
  <si>
    <t>Porcentaje de ejecución de los recursos</t>
  </si>
  <si>
    <t>Porcentaje de avance administrativo de los recursos asignados a la SOPDUVM</t>
  </si>
  <si>
    <t>Porcentaje de avance administrativo en la ejecución de las obras públicas</t>
  </si>
  <si>
    <t>Avance de ejecución del presupuesto de egresos</t>
  </si>
  <si>
    <t>Ejecución del presupuesto de egresos</t>
  </si>
  <si>
    <t>Número de obras con cierre administrativo al 100%</t>
  </si>
  <si>
    <t>Obras con cierre administrativo al 100%</t>
  </si>
  <si>
    <t>Adquisición de Unidad 2022</t>
  </si>
  <si>
    <t>Porcentaje de verificación del avance físico y financiero de las obras ejecutadas</t>
  </si>
  <si>
    <t>Avance de ejecución de obras</t>
  </si>
  <si>
    <t>Porcentaje de cumplimiento de funciones y responsabilidades de la Secretaría</t>
  </si>
  <si>
    <t>Avance de funciones y responsabilidades</t>
  </si>
  <si>
    <t>Porcentaje de vehículos oficiales adquiridos para la realización de las funciones correspondientes</t>
  </si>
  <si>
    <t>Avance de adquisición</t>
  </si>
  <si>
    <t>Número de trámites para la autorización de la adquisición de la unidad</t>
  </si>
  <si>
    <t>Trámites realizados para la adquisición de la unidad</t>
  </si>
  <si>
    <t>Adquisición de Equipo 2023</t>
  </si>
  <si>
    <t>Porcentaje de avance en el seguimiento administrativo para la ejecución y cierre de obras</t>
  </si>
  <si>
    <t>Avance de cumplimiento en el seguimiento de las obras</t>
  </si>
  <si>
    <t>Porcentaje de avance en el desempeño de funciones y responsabilidades de la Secretaría</t>
  </si>
  <si>
    <t>Porcentaje de equipos implementados</t>
  </si>
  <si>
    <t>Porcentaje de equipos de cómputo, impresión y digitalización adquiridos para la realización de las funciones correspondientes</t>
  </si>
  <si>
    <t>Porcentaje de equipos de cómputo, impresión y digitalización implementados</t>
  </si>
  <si>
    <t>Número de trámites para la adquisición de equipos de cómputo, impresión y digitalización</t>
  </si>
  <si>
    <t>Trámites realizados para la adquisición del equipo</t>
  </si>
  <si>
    <t>5 Pachuca con infraestructura y con servicios de calidad</t>
  </si>
  <si>
    <t>Programa de Bacheo 2023</t>
  </si>
  <si>
    <t>Porcentaje de bacheo realizados en avenidas</t>
  </si>
  <si>
    <t>Porcentaje de bacheo en calles</t>
  </si>
  <si>
    <t>Porcentaje de mezcla asfáltica y emulsión aplicada</t>
  </si>
  <si>
    <t>Mezcla asfáltica</t>
  </si>
  <si>
    <t>Pachuca de Soto trabajo por el adelanto, bienestar e igualdad de las mujeres. Ejercicio fiscal 2023</t>
  </si>
  <si>
    <t>índice de apoyos financieros para capacitaciones entregadas</t>
  </si>
  <si>
    <t>Apoyos financieros para capacitaciones</t>
  </si>
  <si>
    <t>Tasa de incremento en las capacidades organizacionales, técnicas y operativas</t>
  </si>
  <si>
    <t>Capacidades organizacionales, técnicas y operativas</t>
  </si>
  <si>
    <t>Porcentaje de adecuada Integración del documento meta de actividades del fortalecimiento de las capacidades organizacionales, operativas y técnicas de las Instancias Municipales de las Mujeres (AT-1-23)</t>
  </si>
  <si>
    <t>Documento meta realizado</t>
  </si>
  <si>
    <t>Porcentaje de adecuada integración del documento meta de actividades de fortalecimiento de las capacidades materiales de la IMM (AT-2-23)</t>
  </si>
  <si>
    <t>Número de medios de verificación elaborados</t>
  </si>
  <si>
    <t>Medios de Verificación</t>
  </si>
  <si>
    <t>Número de capacitaciones otorgadas al personal operativo</t>
  </si>
  <si>
    <t>Capacitaciones otorgadas a Personal</t>
  </si>
  <si>
    <t>Número de adecuados informes de actividades</t>
  </si>
  <si>
    <t>Informes de Actividades</t>
  </si>
  <si>
    <t>Número de cursos impartidos a las mujeres de Pachuca</t>
  </si>
  <si>
    <t>Cursos Impartidos</t>
  </si>
  <si>
    <t>Indicadores 4° trimestre 2023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</si>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</sst>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5" formatCode="0.0%"/>
    <numFmt numFmtId="166" formatCode="&quot;$&quot;#,##0.00"/>
    <numFmt numFmtId="167" formatCode="0.0"/>
  </numFmts>
  <fonts count="9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9"/>
      <color theme="1"/>
      <name val="Arial"/>
      <scheme val="minor"/>
    </font>
    <font>
      <sz val="9"/>
      <color theme="1"/>
      <name val="Arial"/>
    </font>
    <font>
      <b/>
      <sz val="9"/>
      <color theme="1"/>
      <name val="Arial"/>
      <scheme val="minor"/>
    </font>
    <font>
      <sz val="11"/>
      <color rgb="FF000000"/>
      <name val="Calibri"/>
    </font>
    <font>
      <b/>
      <sz val="20"/>
      <color theme="1"/>
      <name val="Arial"/>
    </font>
    <font>
      <b/>
      <sz val="16"/>
      <color rgb="FFFFFFFF"/>
      <name val="&quot;Arial Narrow&quot;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666666"/>
        <bgColor rgb="FF666666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EABAB"/>
          <bgColor rgb="FFAEABAB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EABAB"/>
          <bgColor rgb="FFAEABAB"/>
        </patternFill>
      </fill>
    </dxf>
  </dxfs>
  <tableStyles count="5">
    <tableStyle name="DES-01 Cuarto Trimestre-style" pivot="0" count="3" xr9:uid="{00000000-0011-0000-FFFF-FFFF00000000}">
      <tableStyleElement type="headerRow" dxfId="14"/>
      <tableStyleElement type="firstRowStripe" dxfId="13"/>
      <tableStyleElement type="secondRowStripe" dxfId="12"/>
    </tableStyle>
    <tableStyle name="DES-01 Cuarto Trimestre-style 2" pivot="0" count="3" xr9:uid="{00000000-0011-0000-FFFF-FFFF01000000}">
      <tableStyleElement type="headerRow" dxfId="11"/>
      <tableStyleElement type="firstRowStripe" dxfId="10"/>
      <tableStyleElement type="secondRowStripe" dxfId="9"/>
    </tableStyle>
    <tableStyle name="SEMAFORIZADO Cuarto Trimestre-style" pivot="0" count="3" xr9:uid="{00000000-0011-0000-FFFF-FFFF02000000}">
      <tableStyleElement type="headerRow" dxfId="8"/>
      <tableStyleElement type="firstRowStripe" dxfId="7"/>
      <tableStyleElement type="secondRowStripe" dxfId="6"/>
    </tableStyle>
    <tableStyle name="SEMAFORIZADO Cuarto Trimestre-style 2" pivot="0" count="3" xr9:uid="{00000000-0011-0000-FFFF-FFFF03000000}">
      <tableStyleElement type="headerRow" dxfId="5"/>
      <tableStyleElement type="firstRowStripe" dxfId="4"/>
      <tableStyleElement type="secondRowStripe" dxfId="3"/>
    </tableStyle>
    <tableStyle name="DATASETS Cuarto Trimestre-style" pivot="0" count="3" xr9:uid="{00000000-0011-0000-FFFF-FFFF04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3675" cy="9144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2:J1604">
  <tableColumns count="10">
    <tableColumn id="1" xr3:uid="{00000000-0010-0000-0400-000001000000}" name="Ejercicio"/>
    <tableColumn id="2" xr3:uid="{00000000-0010-0000-0400-000002000000}" name="Periodo"/>
    <tableColumn id="3" xr3:uid="{00000000-0010-0000-0400-000003000000}" name="Eje del PMD"/>
    <tableColumn id="4" xr3:uid="{00000000-0010-0000-0400-000004000000}" name="Nombre del Programa derivado del Plan Municipal de Desarrollo"/>
    <tableColumn id="5" xr3:uid="{00000000-0010-0000-0400-000005000000}" name="Indicador"/>
    <tableColumn id="6" xr3:uid="{00000000-0010-0000-0400-000006000000}" name="Unidad de medida"/>
    <tableColumn id="7" xr3:uid="{00000000-0010-0000-0400-000007000000}" name="Línea base"/>
    <tableColumn id="8" xr3:uid="{00000000-0010-0000-0400-000008000000}" name="Metas programadas"/>
    <tableColumn id="9" xr3:uid="{00000000-0010-0000-0400-000009000000}" name="Avance de metas"/>
    <tableColumn id="10" xr3:uid="{00000000-0010-0000-0400-00000A000000}" name="Área responsable de la información"/>
  </tableColumns>
  <tableStyleInfo name="DATASETS Cuarto Trimestr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1604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2.5703125" defaultRowHeight="15.75" customHeight="1"/>
  <cols>
    <col min="3" max="3" width="20.42578125" customWidth="1"/>
    <col min="4" max="4" width="33.140625" customWidth="1"/>
    <col min="5" max="5" width="21.140625" customWidth="1"/>
    <col min="6" max="6" width="28.5703125" customWidth="1"/>
    <col min="7" max="7" width="13.42578125" customWidth="1"/>
    <col min="8" max="8" width="16.5703125" customWidth="1"/>
    <col min="10" max="10" width="21.85546875" customWidth="1"/>
  </cols>
  <sheetData>
    <row r="1" spans="1:10" ht="73.5" customHeight="1">
      <c r="A1" s="46" t="s">
        <v>2830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81">
      <c r="A2" s="43" t="s">
        <v>0</v>
      </c>
      <c r="B2" s="44" t="s">
        <v>1</v>
      </c>
      <c r="C2" s="44" t="s">
        <v>2</v>
      </c>
      <c r="D2" s="44" t="s">
        <v>3</v>
      </c>
      <c r="E2" s="44" t="s">
        <v>2831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</row>
    <row r="3" spans="1:10" ht="60">
      <c r="A3" s="1">
        <v>2023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2">
        <v>0</v>
      </c>
      <c r="H3" s="3">
        <f t="shared" ref="H3:I3" si="0">0+0+100%</f>
        <v>1</v>
      </c>
      <c r="I3" s="3">
        <f t="shared" si="0"/>
        <v>1</v>
      </c>
      <c r="J3" s="1" t="s">
        <v>14</v>
      </c>
    </row>
    <row r="4" spans="1:10" ht="72">
      <c r="A4" s="1">
        <v>2023</v>
      </c>
      <c r="B4" s="1" t="s">
        <v>9</v>
      </c>
      <c r="C4" s="1" t="s">
        <v>10</v>
      </c>
      <c r="D4" s="1" t="s">
        <v>11</v>
      </c>
      <c r="E4" s="1" t="s">
        <v>15</v>
      </c>
      <c r="F4" s="1" t="s">
        <v>16</v>
      </c>
      <c r="G4" s="2">
        <v>0</v>
      </c>
      <c r="H4" s="3">
        <f t="shared" ref="H4:I4" si="1">0+0+100%</f>
        <v>1</v>
      </c>
      <c r="I4" s="3">
        <f t="shared" si="1"/>
        <v>1</v>
      </c>
      <c r="J4" s="1" t="s">
        <v>14</v>
      </c>
    </row>
    <row r="5" spans="1:10" ht="60">
      <c r="A5" s="1">
        <v>2023</v>
      </c>
      <c r="B5" s="1" t="s">
        <v>9</v>
      </c>
      <c r="C5" s="1" t="s">
        <v>10</v>
      </c>
      <c r="D5" s="1" t="s">
        <v>11</v>
      </c>
      <c r="E5" s="1" t="s">
        <v>17</v>
      </c>
      <c r="F5" s="1" t="s">
        <v>18</v>
      </c>
      <c r="G5" s="2">
        <v>1349</v>
      </c>
      <c r="H5" s="4">
        <f>11.86%+8.9%+6.3%</f>
        <v>0.27060000000000001</v>
      </c>
      <c r="I5" s="4">
        <f>8.9%+8.9%+7.41%</f>
        <v>0.25209999999999999</v>
      </c>
      <c r="J5" s="1" t="s">
        <v>14</v>
      </c>
    </row>
    <row r="6" spans="1:10" ht="48">
      <c r="A6" s="1">
        <v>2023</v>
      </c>
      <c r="B6" s="1" t="s">
        <v>9</v>
      </c>
      <c r="C6" s="1" t="s">
        <v>10</v>
      </c>
      <c r="D6" s="1" t="s">
        <v>11</v>
      </c>
      <c r="E6" s="1" t="s">
        <v>19</v>
      </c>
      <c r="F6" s="1" t="s">
        <v>20</v>
      </c>
      <c r="G6" s="2">
        <v>0</v>
      </c>
      <c r="H6" s="4">
        <f t="shared" ref="H6:I6" si="2">8.33%+8.33%+8.33%</f>
        <v>0.24990000000000001</v>
      </c>
      <c r="I6" s="4">
        <f t="shared" si="2"/>
        <v>0.24990000000000001</v>
      </c>
      <c r="J6" s="1" t="s">
        <v>14</v>
      </c>
    </row>
    <row r="7" spans="1:10" ht="24">
      <c r="A7" s="1">
        <v>2023</v>
      </c>
      <c r="B7" s="1" t="s">
        <v>9</v>
      </c>
      <c r="C7" s="1" t="s">
        <v>10</v>
      </c>
      <c r="D7" s="1" t="s">
        <v>11</v>
      </c>
      <c r="E7" s="1" t="s">
        <v>22</v>
      </c>
      <c r="F7" s="1" t="s">
        <v>23</v>
      </c>
      <c r="G7" s="5">
        <v>36</v>
      </c>
      <c r="H7" s="5">
        <f t="shared" ref="H7:I7" si="3">3+3+3</f>
        <v>9</v>
      </c>
      <c r="I7" s="5">
        <f t="shared" si="3"/>
        <v>9</v>
      </c>
      <c r="J7" s="1" t="s">
        <v>14</v>
      </c>
    </row>
    <row r="8" spans="1:10" ht="24">
      <c r="A8" s="1">
        <v>2023</v>
      </c>
      <c r="B8" s="1" t="s">
        <v>9</v>
      </c>
      <c r="C8" s="1" t="s">
        <v>24</v>
      </c>
      <c r="D8" s="1" t="s">
        <v>11</v>
      </c>
      <c r="E8" s="1" t="s">
        <v>25</v>
      </c>
      <c r="F8" s="1" t="s">
        <v>26</v>
      </c>
      <c r="G8" s="5">
        <v>36</v>
      </c>
      <c r="H8" s="5">
        <f t="shared" ref="H8:I8" si="4">3+3+3</f>
        <v>9</v>
      </c>
      <c r="I8" s="5">
        <f t="shared" si="4"/>
        <v>9</v>
      </c>
      <c r="J8" s="1" t="s">
        <v>14</v>
      </c>
    </row>
    <row r="9" spans="1:10" ht="24">
      <c r="A9" s="1">
        <v>2023</v>
      </c>
      <c r="B9" s="1" t="s">
        <v>9</v>
      </c>
      <c r="C9" s="1" t="s">
        <v>27</v>
      </c>
      <c r="D9" s="1" t="s">
        <v>11</v>
      </c>
      <c r="E9" s="1" t="s">
        <v>28</v>
      </c>
      <c r="F9" s="1" t="s">
        <v>29</v>
      </c>
      <c r="G9" s="5">
        <v>675</v>
      </c>
      <c r="H9" s="5">
        <f t="shared" ref="H9:I9" si="5">56.2+56.2+56.2</f>
        <v>168.60000000000002</v>
      </c>
      <c r="I9" s="5">
        <f t="shared" si="5"/>
        <v>168.60000000000002</v>
      </c>
      <c r="J9" s="1" t="s">
        <v>14</v>
      </c>
    </row>
    <row r="10" spans="1:10" ht="48">
      <c r="A10" s="1">
        <v>2023</v>
      </c>
      <c r="B10" s="1" t="s">
        <v>9</v>
      </c>
      <c r="C10" s="1" t="s">
        <v>10</v>
      </c>
      <c r="D10" s="1" t="s">
        <v>11</v>
      </c>
      <c r="E10" s="1" t="s">
        <v>30</v>
      </c>
      <c r="F10" s="1" t="s">
        <v>31</v>
      </c>
      <c r="G10" s="5">
        <v>675</v>
      </c>
      <c r="H10" s="5">
        <f t="shared" ref="H10:I10" si="6">56.2+56.2+56.2</f>
        <v>168.60000000000002</v>
      </c>
      <c r="I10" s="5">
        <f t="shared" si="6"/>
        <v>168.60000000000002</v>
      </c>
      <c r="J10" s="1" t="s">
        <v>14</v>
      </c>
    </row>
    <row r="11" spans="1:10" ht="48">
      <c r="A11" s="1">
        <v>2023</v>
      </c>
      <c r="B11" s="1" t="s">
        <v>9</v>
      </c>
      <c r="C11" s="1" t="s">
        <v>10</v>
      </c>
      <c r="D11" s="1" t="s">
        <v>32</v>
      </c>
      <c r="E11" s="1" t="s">
        <v>33</v>
      </c>
      <c r="F11" s="1" t="s">
        <v>34</v>
      </c>
      <c r="G11" s="2">
        <v>0</v>
      </c>
      <c r="H11" s="3">
        <f t="shared" ref="H11:I11" si="7">0+0+100%</f>
        <v>1</v>
      </c>
      <c r="I11" s="3">
        <f t="shared" si="7"/>
        <v>1</v>
      </c>
      <c r="J11" s="1" t="s">
        <v>35</v>
      </c>
    </row>
    <row r="12" spans="1:10" ht="48">
      <c r="A12" s="1">
        <v>2023</v>
      </c>
      <c r="B12" s="1" t="s">
        <v>9</v>
      </c>
      <c r="C12" s="1" t="s">
        <v>10</v>
      </c>
      <c r="D12" s="1" t="s">
        <v>32</v>
      </c>
      <c r="E12" s="1" t="s">
        <v>36</v>
      </c>
      <c r="F12" s="1" t="s">
        <v>37</v>
      </c>
      <c r="G12" s="2">
        <v>0</v>
      </c>
      <c r="H12" s="3">
        <f t="shared" ref="H12:I12" si="8">0+0+100%</f>
        <v>1</v>
      </c>
      <c r="I12" s="3">
        <f t="shared" si="8"/>
        <v>1</v>
      </c>
      <c r="J12" s="1" t="s">
        <v>35</v>
      </c>
    </row>
    <row r="13" spans="1:10" ht="48">
      <c r="A13" s="1">
        <v>2023</v>
      </c>
      <c r="B13" s="1" t="s">
        <v>9</v>
      </c>
      <c r="C13" s="1" t="s">
        <v>10</v>
      </c>
      <c r="D13" s="1" t="s">
        <v>32</v>
      </c>
      <c r="E13" s="1" t="s">
        <v>38</v>
      </c>
      <c r="F13" s="1" t="s">
        <v>37</v>
      </c>
      <c r="G13" s="3">
        <v>4.0199999999999996</v>
      </c>
      <c r="H13" s="4">
        <f t="shared" ref="H13:I13" si="9">8.04%+8.26%+7.83%</f>
        <v>0.24129999999999996</v>
      </c>
      <c r="I13" s="4">
        <f t="shared" si="9"/>
        <v>0.24129999999999996</v>
      </c>
      <c r="J13" s="1" t="s">
        <v>35</v>
      </c>
    </row>
    <row r="14" spans="1:10" ht="48">
      <c r="A14" s="1">
        <v>2023</v>
      </c>
      <c r="B14" s="1" t="s">
        <v>9</v>
      </c>
      <c r="C14" s="1" t="s">
        <v>10</v>
      </c>
      <c r="D14" s="1" t="s">
        <v>32</v>
      </c>
      <c r="E14" s="1" t="s">
        <v>39</v>
      </c>
      <c r="F14" s="1" t="s">
        <v>40</v>
      </c>
      <c r="G14" s="5">
        <v>154</v>
      </c>
      <c r="H14" s="5">
        <f t="shared" ref="H14:I14" si="10">12.78+12.78+12.78</f>
        <v>38.339999999999996</v>
      </c>
      <c r="I14" s="6">
        <f t="shared" si="10"/>
        <v>38.339999999999996</v>
      </c>
      <c r="J14" s="1" t="s">
        <v>35</v>
      </c>
    </row>
    <row r="15" spans="1:10" ht="48">
      <c r="A15" s="1">
        <v>2023</v>
      </c>
      <c r="B15" s="1" t="s">
        <v>9</v>
      </c>
      <c r="C15" s="1" t="s">
        <v>10</v>
      </c>
      <c r="D15" s="1" t="s">
        <v>32</v>
      </c>
      <c r="E15" s="1" t="s">
        <v>41</v>
      </c>
      <c r="F15" s="1" t="s">
        <v>37</v>
      </c>
      <c r="G15" s="5">
        <v>154</v>
      </c>
      <c r="H15" s="5">
        <f t="shared" ref="H15:I15" si="11">12.78+12.78+12.78</f>
        <v>38.339999999999996</v>
      </c>
      <c r="I15" s="6">
        <f t="shared" si="11"/>
        <v>38.339999999999996</v>
      </c>
      <c r="J15" s="1" t="s">
        <v>35</v>
      </c>
    </row>
    <row r="16" spans="1:10" ht="48">
      <c r="A16" s="1">
        <v>2023</v>
      </c>
      <c r="B16" s="1" t="s">
        <v>9</v>
      </c>
      <c r="C16" s="1" t="s">
        <v>10</v>
      </c>
      <c r="D16" s="1" t="s">
        <v>32</v>
      </c>
      <c r="E16" s="1" t="s">
        <v>42</v>
      </c>
      <c r="F16" s="1" t="s">
        <v>43</v>
      </c>
      <c r="G16" s="5">
        <v>154</v>
      </c>
      <c r="H16" s="5">
        <f t="shared" ref="H16:I16" si="12">12.78+12.78+12.78</f>
        <v>38.339999999999996</v>
      </c>
      <c r="I16" s="6">
        <f t="shared" si="12"/>
        <v>38.339999999999996</v>
      </c>
      <c r="J16" s="1" t="s">
        <v>35</v>
      </c>
    </row>
    <row r="17" spans="1:10" ht="24">
      <c r="A17" s="1">
        <v>2023</v>
      </c>
      <c r="B17" s="1" t="s">
        <v>9</v>
      </c>
      <c r="C17" s="1" t="s">
        <v>10</v>
      </c>
      <c r="D17" s="1" t="s">
        <v>44</v>
      </c>
      <c r="E17" s="1" t="s">
        <v>45</v>
      </c>
      <c r="F17" s="1" t="s">
        <v>46</v>
      </c>
      <c r="G17" s="2">
        <v>0</v>
      </c>
      <c r="H17" s="3">
        <f t="shared" ref="H17:I17" si="13">100%</f>
        <v>1</v>
      </c>
      <c r="I17" s="3">
        <f t="shared" si="13"/>
        <v>1</v>
      </c>
      <c r="J17" s="1" t="s">
        <v>47</v>
      </c>
    </row>
    <row r="18" spans="1:10" ht="48">
      <c r="A18" s="1">
        <v>2023</v>
      </c>
      <c r="B18" s="1" t="s">
        <v>9</v>
      </c>
      <c r="C18" s="1" t="s">
        <v>10</v>
      </c>
      <c r="D18" s="1" t="s">
        <v>44</v>
      </c>
      <c r="E18" s="1" t="s">
        <v>48</v>
      </c>
      <c r="F18" s="1" t="s">
        <v>49</v>
      </c>
      <c r="G18" s="2">
        <v>0</v>
      </c>
      <c r="H18" s="3">
        <f t="shared" ref="H18:I18" si="14">100%</f>
        <v>1</v>
      </c>
      <c r="I18" s="3">
        <f t="shared" si="14"/>
        <v>1</v>
      </c>
      <c r="J18" s="1" t="s">
        <v>47</v>
      </c>
    </row>
    <row r="19" spans="1:10" ht="24">
      <c r="A19" s="1">
        <v>2023</v>
      </c>
      <c r="B19" s="1" t="s">
        <v>9</v>
      </c>
      <c r="C19" s="1" t="s">
        <v>10</v>
      </c>
      <c r="D19" s="1" t="s">
        <v>44</v>
      </c>
      <c r="E19" s="1" t="s">
        <v>50</v>
      </c>
      <c r="F19" s="1" t="s">
        <v>51</v>
      </c>
      <c r="G19" s="2">
        <v>4398</v>
      </c>
      <c r="H19" s="4">
        <f t="shared" ref="H19:H20" si="15">8.33%+8.33%+8.33%</f>
        <v>0.24990000000000001</v>
      </c>
      <c r="I19" s="4">
        <f>7.33%+8.33%+8.33%</f>
        <v>0.2399</v>
      </c>
      <c r="J19" s="1" t="s">
        <v>47</v>
      </c>
    </row>
    <row r="20" spans="1:10" ht="24">
      <c r="A20" s="1">
        <v>2023</v>
      </c>
      <c r="B20" s="1" t="s">
        <v>9</v>
      </c>
      <c r="C20" s="1" t="s">
        <v>10</v>
      </c>
      <c r="D20" s="1" t="s">
        <v>44</v>
      </c>
      <c r="E20" s="1" t="s">
        <v>52</v>
      </c>
      <c r="F20" s="1" t="s">
        <v>53</v>
      </c>
      <c r="G20" s="3">
        <v>0</v>
      </c>
      <c r="H20" s="4">
        <f t="shared" si="15"/>
        <v>0.24990000000000001</v>
      </c>
      <c r="I20" s="4">
        <f>9.33%+9.33%+9.33%</f>
        <v>0.27989999999999998</v>
      </c>
      <c r="J20" s="1" t="s">
        <v>47</v>
      </c>
    </row>
    <row r="21" spans="1:10" ht="24">
      <c r="A21" s="1">
        <v>2023</v>
      </c>
      <c r="B21" s="1" t="s">
        <v>9</v>
      </c>
      <c r="C21" s="1" t="s">
        <v>10</v>
      </c>
      <c r="D21" s="1" t="s">
        <v>44</v>
      </c>
      <c r="E21" s="1" t="s">
        <v>54</v>
      </c>
      <c r="F21" s="1" t="s">
        <v>55</v>
      </c>
      <c r="G21" s="2">
        <v>1600</v>
      </c>
      <c r="H21" s="2">
        <f t="shared" ref="H21:I21" si="16">133+134+133</f>
        <v>400</v>
      </c>
      <c r="I21" s="2">
        <f t="shared" si="16"/>
        <v>400</v>
      </c>
      <c r="J21" s="1" t="s">
        <v>47</v>
      </c>
    </row>
    <row r="22" spans="1:10" ht="24">
      <c r="A22" s="1">
        <v>2023</v>
      </c>
      <c r="B22" s="1" t="s">
        <v>9</v>
      </c>
      <c r="C22" s="1" t="s">
        <v>10</v>
      </c>
      <c r="D22" s="1" t="s">
        <v>44</v>
      </c>
      <c r="E22" s="1" t="s">
        <v>56</v>
      </c>
      <c r="F22" s="1" t="s">
        <v>57</v>
      </c>
      <c r="G22" s="2">
        <v>1600</v>
      </c>
      <c r="H22" s="2">
        <f t="shared" ref="H22:I22" si="17">133+134+133</f>
        <v>400</v>
      </c>
      <c r="I22" s="2">
        <f t="shared" si="17"/>
        <v>400</v>
      </c>
      <c r="J22" s="1" t="s">
        <v>47</v>
      </c>
    </row>
    <row r="23" spans="1:10" ht="24">
      <c r="A23" s="1">
        <v>2023</v>
      </c>
      <c r="B23" s="1" t="s">
        <v>9</v>
      </c>
      <c r="C23" s="1" t="s">
        <v>10</v>
      </c>
      <c r="D23" s="1" t="s">
        <v>44</v>
      </c>
      <c r="E23" s="1" t="s">
        <v>58</v>
      </c>
      <c r="F23" s="1" t="s">
        <v>59</v>
      </c>
      <c r="G23" s="2">
        <v>1600</v>
      </c>
      <c r="H23" s="2">
        <f t="shared" ref="H23:I23" si="18">133+134+133</f>
        <v>400</v>
      </c>
      <c r="I23" s="2">
        <f t="shared" si="18"/>
        <v>400</v>
      </c>
      <c r="J23" s="1" t="s">
        <v>47</v>
      </c>
    </row>
    <row r="24" spans="1:10" ht="24">
      <c r="A24" s="1">
        <v>2023</v>
      </c>
      <c r="B24" s="1" t="s">
        <v>9</v>
      </c>
      <c r="C24" s="1" t="s">
        <v>10</v>
      </c>
      <c r="D24" s="1" t="s">
        <v>44</v>
      </c>
      <c r="E24" s="1" t="s">
        <v>60</v>
      </c>
      <c r="F24" s="1" t="s">
        <v>61</v>
      </c>
      <c r="G24" s="2">
        <v>80</v>
      </c>
      <c r="H24" s="2">
        <f t="shared" ref="H24:I24" si="19">7+7+6</f>
        <v>20</v>
      </c>
      <c r="I24" s="2">
        <f t="shared" si="19"/>
        <v>20</v>
      </c>
      <c r="J24" s="1" t="s">
        <v>47</v>
      </c>
    </row>
    <row r="25" spans="1:10" ht="36">
      <c r="A25" s="1">
        <v>2023</v>
      </c>
      <c r="B25" s="1" t="s">
        <v>9</v>
      </c>
      <c r="C25" s="1" t="s">
        <v>10</v>
      </c>
      <c r="D25" s="1" t="s">
        <v>44</v>
      </c>
      <c r="E25" s="1" t="s">
        <v>62</v>
      </c>
      <c r="F25" s="1" t="s">
        <v>63</v>
      </c>
      <c r="G25" s="2">
        <v>80</v>
      </c>
      <c r="H25" s="2">
        <f t="shared" ref="H25:I25" si="20">7+7+6</f>
        <v>20</v>
      </c>
      <c r="I25" s="2">
        <f t="shared" si="20"/>
        <v>20</v>
      </c>
      <c r="J25" s="1" t="s">
        <v>47</v>
      </c>
    </row>
    <row r="26" spans="1:10" ht="24">
      <c r="A26" s="1">
        <v>2023</v>
      </c>
      <c r="B26" s="1" t="s">
        <v>9</v>
      </c>
      <c r="C26" s="1" t="s">
        <v>10</v>
      </c>
      <c r="D26" s="1" t="s">
        <v>44</v>
      </c>
      <c r="E26" s="1" t="s">
        <v>60</v>
      </c>
      <c r="F26" s="1" t="s">
        <v>61</v>
      </c>
      <c r="G26" s="2">
        <v>80</v>
      </c>
      <c r="H26" s="2">
        <f t="shared" ref="H26:I26" si="21">7+7+6</f>
        <v>20</v>
      </c>
      <c r="I26" s="2">
        <f t="shared" si="21"/>
        <v>20</v>
      </c>
      <c r="J26" s="1" t="s">
        <v>47</v>
      </c>
    </row>
    <row r="27" spans="1:10" ht="36">
      <c r="A27" s="1">
        <v>2023</v>
      </c>
      <c r="B27" s="1" t="s">
        <v>9</v>
      </c>
      <c r="C27" s="1" t="s">
        <v>10</v>
      </c>
      <c r="D27" s="1" t="s">
        <v>64</v>
      </c>
      <c r="E27" s="1" t="s">
        <v>65</v>
      </c>
      <c r="F27" s="1" t="s">
        <v>66</v>
      </c>
      <c r="G27" s="2">
        <v>0</v>
      </c>
      <c r="H27" s="3">
        <f t="shared" ref="H27:I27" si="22">0+0+100%</f>
        <v>1</v>
      </c>
      <c r="I27" s="3">
        <f t="shared" si="22"/>
        <v>1</v>
      </c>
      <c r="J27" s="1" t="s">
        <v>67</v>
      </c>
    </row>
    <row r="28" spans="1:10" ht="36">
      <c r="A28" s="1">
        <v>2023</v>
      </c>
      <c r="B28" s="1" t="s">
        <v>9</v>
      </c>
      <c r="C28" s="1" t="s">
        <v>10</v>
      </c>
      <c r="D28" s="1" t="s">
        <v>64</v>
      </c>
      <c r="E28" s="1" t="s">
        <v>68</v>
      </c>
      <c r="F28" s="1" t="s">
        <v>69</v>
      </c>
      <c r="G28" s="2">
        <v>0</v>
      </c>
      <c r="H28" s="3">
        <f t="shared" ref="H28:I28" si="23">0+0+100%</f>
        <v>1</v>
      </c>
      <c r="I28" s="3">
        <f t="shared" si="23"/>
        <v>1</v>
      </c>
      <c r="J28" s="1" t="s">
        <v>67</v>
      </c>
    </row>
    <row r="29" spans="1:10" ht="24">
      <c r="A29" s="1">
        <v>2023</v>
      </c>
      <c r="B29" s="1" t="s">
        <v>9</v>
      </c>
      <c r="C29" s="1" t="s">
        <v>10</v>
      </c>
      <c r="D29" s="1" t="s">
        <v>64</v>
      </c>
      <c r="E29" s="1" t="s">
        <v>70</v>
      </c>
      <c r="F29" s="1" t="s">
        <v>49</v>
      </c>
      <c r="G29" s="2">
        <v>2619</v>
      </c>
      <c r="H29" s="3">
        <f>10.35%+12.71%+7.41%</f>
        <v>0.30470000000000003</v>
      </c>
      <c r="I29" s="4">
        <f>11.45%+7.98%+8.21%</f>
        <v>0.27639999999999998</v>
      </c>
      <c r="J29" s="1" t="s">
        <v>67</v>
      </c>
    </row>
    <row r="30" spans="1:10" ht="24">
      <c r="A30" s="1">
        <v>2023</v>
      </c>
      <c r="B30" s="1" t="s">
        <v>9</v>
      </c>
      <c r="C30" s="1" t="s">
        <v>10</v>
      </c>
      <c r="D30" s="1" t="s">
        <v>64</v>
      </c>
      <c r="E30" s="1" t="s">
        <v>71</v>
      </c>
      <c r="F30" s="1" t="s">
        <v>72</v>
      </c>
      <c r="G30" s="2">
        <v>1310</v>
      </c>
      <c r="H30" s="2">
        <f t="shared" ref="H30:I30" si="24">109.12+109.12+109.12</f>
        <v>327.36</v>
      </c>
      <c r="I30" s="2">
        <f t="shared" si="24"/>
        <v>327.36</v>
      </c>
      <c r="J30" s="1" t="s">
        <v>67</v>
      </c>
    </row>
    <row r="31" spans="1:10" ht="24">
      <c r="A31" s="1">
        <v>2023</v>
      </c>
      <c r="B31" s="1" t="s">
        <v>9</v>
      </c>
      <c r="C31" s="1" t="s">
        <v>10</v>
      </c>
      <c r="D31" s="1" t="s">
        <v>64</v>
      </c>
      <c r="E31" s="1" t="s">
        <v>73</v>
      </c>
      <c r="F31" s="1" t="s">
        <v>69</v>
      </c>
      <c r="G31" s="2">
        <v>1310</v>
      </c>
      <c r="H31" s="2">
        <f t="shared" ref="H31:I31" si="25">109.12+109.12+109.12</f>
        <v>327.36</v>
      </c>
      <c r="I31" s="2">
        <f t="shared" si="25"/>
        <v>327.36</v>
      </c>
      <c r="J31" s="1" t="s">
        <v>67</v>
      </c>
    </row>
    <row r="32" spans="1:10" ht="72">
      <c r="A32" s="1">
        <v>2023</v>
      </c>
      <c r="B32" s="1" t="s">
        <v>9</v>
      </c>
      <c r="C32" s="1" t="s">
        <v>10</v>
      </c>
      <c r="D32" s="1" t="s">
        <v>74</v>
      </c>
      <c r="E32" s="1" t="s">
        <v>75</v>
      </c>
      <c r="F32" s="1" t="s">
        <v>76</v>
      </c>
      <c r="G32" s="2">
        <v>0</v>
      </c>
      <c r="H32" s="3">
        <f t="shared" ref="H32:I32" si="26">0+0+100%</f>
        <v>1</v>
      </c>
      <c r="I32" s="3">
        <f t="shared" si="26"/>
        <v>1</v>
      </c>
      <c r="J32" s="1" t="s">
        <v>77</v>
      </c>
    </row>
    <row r="33" spans="1:10" ht="60">
      <c r="A33" s="1">
        <v>2023</v>
      </c>
      <c r="B33" s="1" t="s">
        <v>9</v>
      </c>
      <c r="C33" s="1" t="s">
        <v>10</v>
      </c>
      <c r="D33" s="1" t="s">
        <v>74</v>
      </c>
      <c r="E33" s="1" t="s">
        <v>78</v>
      </c>
      <c r="F33" s="1" t="s">
        <v>79</v>
      </c>
      <c r="G33" s="2">
        <v>0</v>
      </c>
      <c r="H33" s="3">
        <f t="shared" ref="H33:I33" si="27">0+0+100%</f>
        <v>1</v>
      </c>
      <c r="I33" s="3">
        <f t="shared" si="27"/>
        <v>1</v>
      </c>
      <c r="J33" s="1" t="s">
        <v>77</v>
      </c>
    </row>
    <row r="34" spans="1:10" ht="48">
      <c r="A34" s="1">
        <v>2023</v>
      </c>
      <c r="B34" s="1" t="s">
        <v>9</v>
      </c>
      <c r="C34" s="1" t="s">
        <v>10</v>
      </c>
      <c r="D34" s="1" t="s">
        <v>74</v>
      </c>
      <c r="E34" s="1" t="s">
        <v>80</v>
      </c>
      <c r="F34" s="1" t="s">
        <v>81</v>
      </c>
      <c r="G34" s="2">
        <v>22</v>
      </c>
      <c r="H34" s="3">
        <f>9.09%+4.55%+9.09%</f>
        <v>0.2273</v>
      </c>
      <c r="I34" s="4">
        <f>13.64%+13.64%+18.18%</f>
        <v>0.4546</v>
      </c>
      <c r="J34" s="1" t="s">
        <v>77</v>
      </c>
    </row>
    <row r="35" spans="1:10" ht="48">
      <c r="A35" s="1">
        <v>2023</v>
      </c>
      <c r="B35" s="1" t="s">
        <v>9</v>
      </c>
      <c r="C35" s="1" t="s">
        <v>10</v>
      </c>
      <c r="D35" s="1" t="s">
        <v>74</v>
      </c>
      <c r="E35" s="1" t="s">
        <v>82</v>
      </c>
      <c r="F35" s="1" t="s">
        <v>83</v>
      </c>
      <c r="G35" s="2">
        <v>5</v>
      </c>
      <c r="H35" s="2">
        <f t="shared" ref="H35:H39" si="28">0+1+0</f>
        <v>1</v>
      </c>
      <c r="I35" s="2">
        <f t="shared" ref="I35:I39" si="29">0+0+1</f>
        <v>1</v>
      </c>
      <c r="J35" s="1" t="s">
        <v>77</v>
      </c>
    </row>
    <row r="36" spans="1:10" ht="48">
      <c r="A36" s="1">
        <v>2023</v>
      </c>
      <c r="B36" s="1" t="s">
        <v>9</v>
      </c>
      <c r="C36" s="1" t="s">
        <v>10</v>
      </c>
      <c r="D36" s="1" t="s">
        <v>74</v>
      </c>
      <c r="E36" s="1" t="s">
        <v>84</v>
      </c>
      <c r="F36" s="1" t="s">
        <v>85</v>
      </c>
      <c r="G36" s="2">
        <v>5</v>
      </c>
      <c r="H36" s="2">
        <f t="shared" si="28"/>
        <v>1</v>
      </c>
      <c r="I36" s="2">
        <f t="shared" si="29"/>
        <v>1</v>
      </c>
      <c r="J36" s="1" t="s">
        <v>77</v>
      </c>
    </row>
    <row r="37" spans="1:10" ht="48">
      <c r="A37" s="1">
        <v>2023</v>
      </c>
      <c r="B37" s="1" t="s">
        <v>9</v>
      </c>
      <c r="C37" s="1" t="s">
        <v>10</v>
      </c>
      <c r="D37" s="1" t="s">
        <v>74</v>
      </c>
      <c r="E37" s="1" t="s">
        <v>86</v>
      </c>
      <c r="F37" s="1" t="s">
        <v>87</v>
      </c>
      <c r="G37" s="2">
        <v>5</v>
      </c>
      <c r="H37" s="2">
        <f t="shared" si="28"/>
        <v>1</v>
      </c>
      <c r="I37" s="2">
        <f t="shared" si="29"/>
        <v>1</v>
      </c>
      <c r="J37" s="1" t="s">
        <v>77</v>
      </c>
    </row>
    <row r="38" spans="1:10" ht="48">
      <c r="A38" s="1">
        <v>2023</v>
      </c>
      <c r="B38" s="1" t="s">
        <v>9</v>
      </c>
      <c r="C38" s="1" t="s">
        <v>10</v>
      </c>
      <c r="D38" s="1" t="s">
        <v>74</v>
      </c>
      <c r="E38" s="1" t="s">
        <v>88</v>
      </c>
      <c r="F38" s="1" t="s">
        <v>89</v>
      </c>
      <c r="G38" s="2">
        <v>5</v>
      </c>
      <c r="H38" s="2">
        <f t="shared" si="28"/>
        <v>1</v>
      </c>
      <c r="I38" s="2">
        <f t="shared" si="29"/>
        <v>1</v>
      </c>
      <c r="J38" s="1" t="s">
        <v>77</v>
      </c>
    </row>
    <row r="39" spans="1:10" ht="48">
      <c r="A39" s="1">
        <v>2023</v>
      </c>
      <c r="B39" s="1" t="s">
        <v>9</v>
      </c>
      <c r="C39" s="1" t="s">
        <v>10</v>
      </c>
      <c r="D39" s="1" t="s">
        <v>74</v>
      </c>
      <c r="E39" s="1" t="s">
        <v>90</v>
      </c>
      <c r="F39" s="1" t="s">
        <v>91</v>
      </c>
      <c r="G39" s="2">
        <v>5</v>
      </c>
      <c r="H39" s="2">
        <f t="shared" si="28"/>
        <v>1</v>
      </c>
      <c r="I39" s="2">
        <f t="shared" si="29"/>
        <v>1</v>
      </c>
      <c r="J39" s="1" t="s">
        <v>77</v>
      </c>
    </row>
    <row r="40" spans="1:10" ht="60">
      <c r="A40" s="1">
        <v>2023</v>
      </c>
      <c r="B40" s="1" t="s">
        <v>9</v>
      </c>
      <c r="C40" s="1" t="s">
        <v>92</v>
      </c>
      <c r="D40" s="1" t="s">
        <v>93</v>
      </c>
      <c r="E40" s="1" t="s">
        <v>94</v>
      </c>
      <c r="F40" s="1" t="s">
        <v>95</v>
      </c>
      <c r="G40" s="2">
        <v>0</v>
      </c>
      <c r="H40" s="7">
        <v>0</v>
      </c>
      <c r="I40" s="2">
        <f t="shared" ref="I40:I41" si="30">0</f>
        <v>0</v>
      </c>
      <c r="J40" s="1" t="s">
        <v>96</v>
      </c>
    </row>
    <row r="41" spans="1:10" ht="60">
      <c r="A41" s="1">
        <v>2023</v>
      </c>
      <c r="B41" s="1" t="s">
        <v>9</v>
      </c>
      <c r="C41" s="1" t="s">
        <v>92</v>
      </c>
      <c r="D41" s="1" t="s">
        <v>93</v>
      </c>
      <c r="E41" s="1" t="s">
        <v>97</v>
      </c>
      <c r="F41" s="1" t="s">
        <v>98</v>
      </c>
      <c r="G41" s="2">
        <v>0</v>
      </c>
      <c r="H41" s="7">
        <v>0</v>
      </c>
      <c r="I41" s="2">
        <f t="shared" si="30"/>
        <v>0</v>
      </c>
      <c r="J41" s="1" t="s">
        <v>96</v>
      </c>
    </row>
    <row r="42" spans="1:10" ht="60">
      <c r="A42" s="1">
        <v>2023</v>
      </c>
      <c r="B42" s="1" t="s">
        <v>9</v>
      </c>
      <c r="C42" s="1" t="s">
        <v>92</v>
      </c>
      <c r="D42" s="1" t="s">
        <v>93</v>
      </c>
      <c r="E42" s="1" t="s">
        <v>99</v>
      </c>
      <c r="F42" s="1" t="s">
        <v>100</v>
      </c>
      <c r="G42" s="3">
        <v>1</v>
      </c>
      <c r="H42" s="8">
        <f t="shared" ref="H42:H44" si="31">10%+5%+5%</f>
        <v>0.2</v>
      </c>
      <c r="I42" s="3">
        <f>10%+10%+5%</f>
        <v>0.25</v>
      </c>
      <c r="J42" s="1" t="s">
        <v>96</v>
      </c>
    </row>
    <row r="43" spans="1:10" ht="60">
      <c r="A43" s="1">
        <v>2023</v>
      </c>
      <c r="B43" s="1" t="s">
        <v>9</v>
      </c>
      <c r="C43" s="1" t="s">
        <v>92</v>
      </c>
      <c r="D43" s="1" t="s">
        <v>93</v>
      </c>
      <c r="E43" s="1" t="s">
        <v>101</v>
      </c>
      <c r="F43" s="1" t="s">
        <v>102</v>
      </c>
      <c r="G43" s="3">
        <v>1</v>
      </c>
      <c r="H43" s="8">
        <f t="shared" si="31"/>
        <v>0.2</v>
      </c>
      <c r="I43" s="3">
        <f>10%+10%+10%</f>
        <v>0.30000000000000004</v>
      </c>
      <c r="J43" s="1" t="s">
        <v>96</v>
      </c>
    </row>
    <row r="44" spans="1:10" ht="72">
      <c r="A44" s="1">
        <v>2023</v>
      </c>
      <c r="B44" s="1" t="s">
        <v>9</v>
      </c>
      <c r="C44" s="1" t="s">
        <v>92</v>
      </c>
      <c r="D44" s="1" t="s">
        <v>93</v>
      </c>
      <c r="E44" s="1" t="s">
        <v>103</v>
      </c>
      <c r="F44" s="1" t="s">
        <v>104</v>
      </c>
      <c r="G44" s="3">
        <v>1</v>
      </c>
      <c r="H44" s="8">
        <f t="shared" si="31"/>
        <v>0.2</v>
      </c>
      <c r="I44" s="3">
        <f>10%+10%+0%</f>
        <v>0.2</v>
      </c>
      <c r="J44" s="1" t="s">
        <v>96</v>
      </c>
    </row>
    <row r="45" spans="1:10" ht="60">
      <c r="A45" s="1">
        <v>2023</v>
      </c>
      <c r="B45" s="1" t="s">
        <v>9</v>
      </c>
      <c r="C45" s="1" t="s">
        <v>92</v>
      </c>
      <c r="D45" s="1" t="s">
        <v>93</v>
      </c>
      <c r="E45" s="1" t="s">
        <v>99</v>
      </c>
      <c r="F45" s="1" t="s">
        <v>105</v>
      </c>
      <c r="G45" s="2">
        <v>0</v>
      </c>
      <c r="H45" s="8">
        <f>15%+15%+10%</f>
        <v>0.4</v>
      </c>
      <c r="I45" s="3">
        <f>12%+12%+4%</f>
        <v>0.27999999999999997</v>
      </c>
      <c r="J45" s="1" t="s">
        <v>96</v>
      </c>
    </row>
    <row r="46" spans="1:10" ht="72">
      <c r="A46" s="1">
        <v>2023</v>
      </c>
      <c r="B46" s="1" t="s">
        <v>9</v>
      </c>
      <c r="C46" s="1" t="s">
        <v>92</v>
      </c>
      <c r="D46" s="1" t="s">
        <v>93</v>
      </c>
      <c r="E46" s="1" t="s">
        <v>106</v>
      </c>
      <c r="F46" s="1" t="s">
        <v>107</v>
      </c>
      <c r="G46" s="2">
        <v>7000</v>
      </c>
      <c r="H46" s="9">
        <f>650+550+550</f>
        <v>1750</v>
      </c>
      <c r="I46" s="2">
        <f>600+600+207</f>
        <v>1407</v>
      </c>
      <c r="J46" s="1" t="s">
        <v>96</v>
      </c>
    </row>
    <row r="47" spans="1:10" ht="60">
      <c r="A47" s="1">
        <v>2023</v>
      </c>
      <c r="B47" s="1" t="s">
        <v>9</v>
      </c>
      <c r="C47" s="1" t="s">
        <v>92</v>
      </c>
      <c r="D47" s="1" t="s">
        <v>93</v>
      </c>
      <c r="E47" s="1" t="s">
        <v>108</v>
      </c>
      <c r="F47" s="1" t="s">
        <v>109</v>
      </c>
      <c r="G47" s="2">
        <v>2000</v>
      </c>
      <c r="H47" s="9">
        <f>200+150+100</f>
        <v>450</v>
      </c>
      <c r="I47" s="2">
        <f>250+300+150</f>
        <v>700</v>
      </c>
      <c r="J47" s="1" t="s">
        <v>96</v>
      </c>
    </row>
    <row r="48" spans="1:10" ht="60">
      <c r="A48" s="1">
        <v>2023</v>
      </c>
      <c r="B48" s="1" t="s">
        <v>9</v>
      </c>
      <c r="C48" s="1" t="s">
        <v>92</v>
      </c>
      <c r="D48" s="1" t="s">
        <v>93</v>
      </c>
      <c r="E48" s="1" t="s">
        <v>110</v>
      </c>
      <c r="F48" s="1" t="s">
        <v>111</v>
      </c>
      <c r="G48" s="2">
        <v>1</v>
      </c>
      <c r="H48" s="2">
        <f>0</f>
        <v>0</v>
      </c>
      <c r="I48" s="10">
        <f>0+1+0</f>
        <v>1</v>
      </c>
      <c r="J48" s="1" t="s">
        <v>96</v>
      </c>
    </row>
    <row r="49" spans="1:10" ht="60">
      <c r="A49" s="1">
        <v>2023</v>
      </c>
      <c r="B49" s="1" t="s">
        <v>9</v>
      </c>
      <c r="C49" s="1" t="s">
        <v>92</v>
      </c>
      <c r="D49" s="1" t="s">
        <v>93</v>
      </c>
      <c r="E49" s="1" t="s">
        <v>112</v>
      </c>
      <c r="F49" s="1" t="s">
        <v>113</v>
      </c>
      <c r="G49" s="2">
        <v>20</v>
      </c>
      <c r="H49" s="2">
        <f>2+1+1</f>
        <v>4</v>
      </c>
      <c r="I49" s="10">
        <f>3+3+2</f>
        <v>8</v>
      </c>
      <c r="J49" s="1" t="s">
        <v>96</v>
      </c>
    </row>
    <row r="50" spans="1:10" ht="72">
      <c r="A50" s="1">
        <v>2023</v>
      </c>
      <c r="B50" s="1" t="s">
        <v>9</v>
      </c>
      <c r="C50" s="1" t="s">
        <v>92</v>
      </c>
      <c r="D50" s="1" t="s">
        <v>93</v>
      </c>
      <c r="E50" s="1" t="s">
        <v>106</v>
      </c>
      <c r="F50" s="1" t="s">
        <v>107</v>
      </c>
      <c r="G50" s="2">
        <v>7000</v>
      </c>
      <c r="H50" s="2">
        <f>600+600+600</f>
        <v>1800</v>
      </c>
      <c r="I50" s="10">
        <f>710+810+550</f>
        <v>2070</v>
      </c>
      <c r="J50" s="1" t="s">
        <v>96</v>
      </c>
    </row>
    <row r="51" spans="1:10" ht="60">
      <c r="A51" s="1">
        <v>2023</v>
      </c>
      <c r="B51" s="1" t="s">
        <v>9</v>
      </c>
      <c r="C51" s="1" t="s">
        <v>92</v>
      </c>
      <c r="D51" s="1" t="s">
        <v>93</v>
      </c>
      <c r="E51" s="1" t="s">
        <v>108</v>
      </c>
      <c r="F51" s="1" t="s">
        <v>109</v>
      </c>
      <c r="G51" s="2">
        <v>6000</v>
      </c>
      <c r="H51" s="2">
        <f>500+500+500</f>
        <v>1500</v>
      </c>
      <c r="I51" s="10">
        <f>550+550+350</f>
        <v>1450</v>
      </c>
      <c r="J51" s="1" t="s">
        <v>96</v>
      </c>
    </row>
    <row r="52" spans="1:10" ht="60">
      <c r="A52" s="1">
        <v>2023</v>
      </c>
      <c r="B52" s="1" t="s">
        <v>9</v>
      </c>
      <c r="C52" s="1" t="s">
        <v>92</v>
      </c>
      <c r="D52" s="1" t="s">
        <v>93</v>
      </c>
      <c r="E52" s="1" t="s">
        <v>114</v>
      </c>
      <c r="F52" s="1" t="s">
        <v>115</v>
      </c>
      <c r="G52" s="2">
        <v>60</v>
      </c>
      <c r="H52" s="2">
        <f>5+5+5</f>
        <v>15</v>
      </c>
      <c r="I52" s="10">
        <f>6+6+6</f>
        <v>18</v>
      </c>
      <c r="J52" s="1" t="s">
        <v>96</v>
      </c>
    </row>
    <row r="53" spans="1:10" ht="108">
      <c r="A53" s="1">
        <v>2023</v>
      </c>
      <c r="B53" s="1" t="s">
        <v>9</v>
      </c>
      <c r="C53" s="1" t="s">
        <v>92</v>
      </c>
      <c r="D53" s="1" t="s">
        <v>93</v>
      </c>
      <c r="E53" s="1" t="s">
        <v>116</v>
      </c>
      <c r="F53" s="1" t="s">
        <v>117</v>
      </c>
      <c r="G53" s="2">
        <v>8000</v>
      </c>
      <c r="H53" s="2">
        <f>1100+1000+1000</f>
        <v>3100</v>
      </c>
      <c r="I53" s="10">
        <f>1300+1250+1250</f>
        <v>3800</v>
      </c>
      <c r="J53" s="1" t="s">
        <v>96</v>
      </c>
    </row>
    <row r="54" spans="1:10" ht="60">
      <c r="A54" s="1">
        <v>2023</v>
      </c>
      <c r="B54" s="1" t="s">
        <v>9</v>
      </c>
      <c r="C54" s="1" t="s">
        <v>92</v>
      </c>
      <c r="D54" s="1" t="s">
        <v>118</v>
      </c>
      <c r="E54" s="1" t="s">
        <v>119</v>
      </c>
      <c r="F54" s="1" t="s">
        <v>120</v>
      </c>
      <c r="G54" s="2">
        <v>0</v>
      </c>
      <c r="H54" s="3">
        <f t="shared" ref="H54:I54" si="32">0+0+100%</f>
        <v>1</v>
      </c>
      <c r="I54" s="3">
        <f t="shared" si="32"/>
        <v>1</v>
      </c>
      <c r="J54" s="1" t="s">
        <v>96</v>
      </c>
    </row>
    <row r="55" spans="1:10" ht="72">
      <c r="A55" s="1">
        <v>2023</v>
      </c>
      <c r="B55" s="1" t="s">
        <v>9</v>
      </c>
      <c r="C55" s="1" t="s">
        <v>92</v>
      </c>
      <c r="D55" s="1" t="s">
        <v>118</v>
      </c>
      <c r="E55" s="1" t="s">
        <v>121</v>
      </c>
      <c r="F55" s="1" t="s">
        <v>122</v>
      </c>
      <c r="G55" s="2">
        <v>0</v>
      </c>
      <c r="H55" s="2">
        <f t="shared" ref="H55:I55" si="33">0+0+0</f>
        <v>0</v>
      </c>
      <c r="I55" s="2">
        <f t="shared" si="33"/>
        <v>0</v>
      </c>
      <c r="J55" s="1" t="s">
        <v>96</v>
      </c>
    </row>
    <row r="56" spans="1:10" ht="60">
      <c r="A56" s="1">
        <v>2023</v>
      </c>
      <c r="B56" s="1" t="s">
        <v>9</v>
      </c>
      <c r="C56" s="1" t="s">
        <v>92</v>
      </c>
      <c r="D56" s="1" t="s">
        <v>118</v>
      </c>
      <c r="E56" s="1" t="s">
        <v>123</v>
      </c>
      <c r="F56" s="1" t="s">
        <v>120</v>
      </c>
      <c r="G56" s="3">
        <v>1</v>
      </c>
      <c r="H56" s="3">
        <f>10%+10%+0%</f>
        <v>0.2</v>
      </c>
      <c r="I56" s="3">
        <f>15%+15%+0%</f>
        <v>0.3</v>
      </c>
      <c r="J56" s="1" t="s">
        <v>96</v>
      </c>
    </row>
    <row r="57" spans="1:10" ht="60">
      <c r="A57" s="1">
        <v>2023</v>
      </c>
      <c r="B57" s="1" t="s">
        <v>9</v>
      </c>
      <c r="C57" s="1" t="s">
        <v>92</v>
      </c>
      <c r="D57" s="1" t="s">
        <v>118</v>
      </c>
      <c r="E57" s="1" t="s">
        <v>124</v>
      </c>
      <c r="F57" s="1" t="s">
        <v>125</v>
      </c>
      <c r="G57" s="3">
        <v>1</v>
      </c>
      <c r="H57" s="3">
        <f>0%+0%+0%</f>
        <v>0</v>
      </c>
      <c r="I57" s="3">
        <f>0%+0%+100%</f>
        <v>1</v>
      </c>
      <c r="J57" s="1" t="s">
        <v>96</v>
      </c>
    </row>
    <row r="58" spans="1:10" ht="60">
      <c r="A58" s="1">
        <v>2023</v>
      </c>
      <c r="B58" s="1" t="s">
        <v>9</v>
      </c>
      <c r="C58" s="1" t="s">
        <v>92</v>
      </c>
      <c r="D58" s="1" t="s">
        <v>118</v>
      </c>
      <c r="E58" s="1" t="s">
        <v>126</v>
      </c>
      <c r="F58" s="1" t="s">
        <v>127</v>
      </c>
      <c r="G58" s="2">
        <v>20</v>
      </c>
      <c r="H58" s="2">
        <f t="shared" ref="H58:I58" si="34">2+2+1</f>
        <v>5</v>
      </c>
      <c r="I58" s="2">
        <f t="shared" si="34"/>
        <v>5</v>
      </c>
      <c r="J58" s="1" t="s">
        <v>96</v>
      </c>
    </row>
    <row r="59" spans="1:10" ht="60">
      <c r="A59" s="1">
        <v>2023</v>
      </c>
      <c r="B59" s="1" t="s">
        <v>9</v>
      </c>
      <c r="C59" s="1" t="s">
        <v>92</v>
      </c>
      <c r="D59" s="1" t="s">
        <v>118</v>
      </c>
      <c r="E59" s="1" t="s">
        <v>128</v>
      </c>
      <c r="F59" s="1" t="s">
        <v>129</v>
      </c>
      <c r="G59" s="2">
        <v>15</v>
      </c>
      <c r="H59" s="2">
        <f>2+1+1</f>
        <v>4</v>
      </c>
      <c r="I59" s="2">
        <f>1+0+0</f>
        <v>1</v>
      </c>
      <c r="J59" s="1" t="s">
        <v>96</v>
      </c>
    </row>
    <row r="60" spans="1:10" ht="72">
      <c r="A60" s="1">
        <v>2023</v>
      </c>
      <c r="B60" s="1" t="s">
        <v>9</v>
      </c>
      <c r="C60" s="1" t="s">
        <v>92</v>
      </c>
      <c r="D60" s="1" t="s">
        <v>118</v>
      </c>
      <c r="E60" s="1" t="s">
        <v>130</v>
      </c>
      <c r="F60" s="1" t="s">
        <v>131</v>
      </c>
      <c r="G60" s="2">
        <v>1</v>
      </c>
      <c r="H60" s="2">
        <f>0+0+0</f>
        <v>0</v>
      </c>
      <c r="I60" s="2">
        <f>0+0+1</f>
        <v>1</v>
      </c>
      <c r="J60" s="1" t="s">
        <v>96</v>
      </c>
    </row>
    <row r="61" spans="1:10" ht="60">
      <c r="A61" s="1">
        <v>2023</v>
      </c>
      <c r="B61" s="1" t="s">
        <v>9</v>
      </c>
      <c r="C61" s="1" t="s">
        <v>92</v>
      </c>
      <c r="D61" s="1" t="s">
        <v>118</v>
      </c>
      <c r="E61" s="1" t="s">
        <v>132</v>
      </c>
      <c r="F61" s="1" t="s">
        <v>133</v>
      </c>
      <c r="G61" s="2">
        <v>800</v>
      </c>
      <c r="H61" s="2">
        <f>100+50+50</f>
        <v>200</v>
      </c>
      <c r="I61" s="2">
        <f>80+70+50</f>
        <v>200</v>
      </c>
      <c r="J61" s="1" t="s">
        <v>96</v>
      </c>
    </row>
    <row r="62" spans="1:10" ht="60">
      <c r="A62" s="1">
        <v>2023</v>
      </c>
      <c r="B62" s="1" t="s">
        <v>9</v>
      </c>
      <c r="C62" s="1" t="s">
        <v>92</v>
      </c>
      <c r="D62" s="1" t="s">
        <v>134</v>
      </c>
      <c r="E62" s="1" t="s">
        <v>135</v>
      </c>
      <c r="F62" s="1" t="s">
        <v>136</v>
      </c>
      <c r="G62" s="2">
        <v>0</v>
      </c>
      <c r="H62" s="3">
        <f t="shared" ref="H62:H63" si="35">0+0+100%</f>
        <v>1</v>
      </c>
      <c r="I62" s="3">
        <f t="shared" ref="I62:I63" si="36">0%+100%+0%</f>
        <v>1</v>
      </c>
      <c r="J62" s="1" t="s">
        <v>137</v>
      </c>
    </row>
    <row r="63" spans="1:10" ht="60">
      <c r="A63" s="1">
        <v>2023</v>
      </c>
      <c r="B63" s="1" t="s">
        <v>9</v>
      </c>
      <c r="C63" s="1" t="s">
        <v>92</v>
      </c>
      <c r="D63" s="1" t="s">
        <v>134</v>
      </c>
      <c r="E63" s="1" t="s">
        <v>138</v>
      </c>
      <c r="F63" s="1" t="s">
        <v>139</v>
      </c>
      <c r="G63" s="2">
        <v>0</v>
      </c>
      <c r="H63" s="3">
        <f t="shared" si="35"/>
        <v>1</v>
      </c>
      <c r="I63" s="3">
        <f t="shared" si="36"/>
        <v>1</v>
      </c>
      <c r="J63" s="1" t="s">
        <v>137</v>
      </c>
    </row>
    <row r="64" spans="1:10" ht="72">
      <c r="A64" s="1">
        <v>2023</v>
      </c>
      <c r="B64" s="1" t="s">
        <v>9</v>
      </c>
      <c r="C64" s="1" t="s">
        <v>92</v>
      </c>
      <c r="D64" s="1" t="s">
        <v>134</v>
      </c>
      <c r="E64" s="1" t="s">
        <v>140</v>
      </c>
      <c r="F64" s="1" t="s">
        <v>141</v>
      </c>
      <c r="G64" s="3">
        <v>1</v>
      </c>
      <c r="H64" s="3">
        <f>10%+10%+10%</f>
        <v>0.30000000000000004</v>
      </c>
      <c r="I64" s="3">
        <f>10%+10%+5%</f>
        <v>0.25</v>
      </c>
      <c r="J64" s="1" t="s">
        <v>137</v>
      </c>
    </row>
    <row r="65" spans="1:10" ht="84">
      <c r="A65" s="1">
        <v>2023</v>
      </c>
      <c r="B65" s="1" t="s">
        <v>9</v>
      </c>
      <c r="C65" s="1" t="s">
        <v>92</v>
      </c>
      <c r="D65" s="1" t="s">
        <v>134</v>
      </c>
      <c r="E65" s="1" t="s">
        <v>142</v>
      </c>
      <c r="F65" s="1" t="s">
        <v>143</v>
      </c>
      <c r="G65" s="3">
        <v>1</v>
      </c>
      <c r="H65" s="3">
        <f>10%+10%+5%</f>
        <v>0.25</v>
      </c>
      <c r="I65" s="3">
        <f>10%+10%+10%</f>
        <v>0.30000000000000004</v>
      </c>
      <c r="J65" s="1" t="s">
        <v>137</v>
      </c>
    </row>
    <row r="66" spans="1:10" ht="60">
      <c r="A66" s="1">
        <v>2023</v>
      </c>
      <c r="B66" s="1" t="s">
        <v>9</v>
      </c>
      <c r="C66" s="1" t="s">
        <v>92</v>
      </c>
      <c r="D66" s="1" t="s">
        <v>134</v>
      </c>
      <c r="E66" s="1" t="s">
        <v>144</v>
      </c>
      <c r="F66" s="1" t="s">
        <v>145</v>
      </c>
      <c r="G66" s="2">
        <v>8000</v>
      </c>
      <c r="H66" s="2">
        <f>650+700+650</f>
        <v>2000</v>
      </c>
      <c r="I66" s="2">
        <f t="shared" ref="I66:I68" si="37">500+500+290</f>
        <v>1290</v>
      </c>
      <c r="J66" s="1" t="s">
        <v>137</v>
      </c>
    </row>
    <row r="67" spans="1:10" ht="60">
      <c r="A67" s="1">
        <v>2023</v>
      </c>
      <c r="B67" s="1" t="s">
        <v>9</v>
      </c>
      <c r="C67" s="1" t="s">
        <v>92</v>
      </c>
      <c r="D67" s="1" t="s">
        <v>134</v>
      </c>
      <c r="E67" s="1" t="s">
        <v>144</v>
      </c>
      <c r="F67" s="1" t="s">
        <v>145</v>
      </c>
      <c r="G67" s="2">
        <v>8000</v>
      </c>
      <c r="H67" s="2">
        <f>700+650+600</f>
        <v>1950</v>
      </c>
      <c r="I67" s="2">
        <f t="shared" si="37"/>
        <v>1290</v>
      </c>
      <c r="J67" s="1" t="s">
        <v>137</v>
      </c>
    </row>
    <row r="68" spans="1:10" ht="60">
      <c r="A68" s="1">
        <v>2023</v>
      </c>
      <c r="B68" s="1" t="s">
        <v>9</v>
      </c>
      <c r="C68" s="1" t="s">
        <v>92</v>
      </c>
      <c r="D68" s="1" t="s">
        <v>134</v>
      </c>
      <c r="E68" s="1" t="s">
        <v>146</v>
      </c>
      <c r="F68" s="1" t="s">
        <v>145</v>
      </c>
      <c r="G68" s="2">
        <v>8000</v>
      </c>
      <c r="H68" s="2">
        <f>650+700+600</f>
        <v>1950</v>
      </c>
      <c r="I68" s="2">
        <f t="shared" si="37"/>
        <v>1290</v>
      </c>
      <c r="J68" s="1" t="s">
        <v>137</v>
      </c>
    </row>
    <row r="69" spans="1:10" ht="48">
      <c r="A69" s="1">
        <v>2023</v>
      </c>
      <c r="B69" s="1" t="s">
        <v>9</v>
      </c>
      <c r="C69" s="1" t="s">
        <v>10</v>
      </c>
      <c r="D69" s="1" t="s">
        <v>147</v>
      </c>
      <c r="E69" s="1" t="s">
        <v>148</v>
      </c>
      <c r="F69" s="1" t="s">
        <v>149</v>
      </c>
      <c r="G69" s="2">
        <v>0</v>
      </c>
      <c r="H69" s="3">
        <f t="shared" ref="H69:H70" si="38">0+0+1</f>
        <v>1</v>
      </c>
      <c r="I69" s="3">
        <f t="shared" ref="I69:I70" si="39">0%+0%+100%</f>
        <v>1</v>
      </c>
      <c r="J69" s="1" t="s">
        <v>150</v>
      </c>
    </row>
    <row r="70" spans="1:10" ht="24">
      <c r="A70" s="1">
        <v>2023</v>
      </c>
      <c r="B70" s="1" t="s">
        <v>9</v>
      </c>
      <c r="C70" s="1" t="s">
        <v>10</v>
      </c>
      <c r="D70" s="1" t="s">
        <v>147</v>
      </c>
      <c r="E70" s="1" t="s">
        <v>151</v>
      </c>
      <c r="F70" s="1" t="s">
        <v>152</v>
      </c>
      <c r="G70" s="2">
        <v>0</v>
      </c>
      <c r="H70" s="3">
        <f t="shared" si="38"/>
        <v>1</v>
      </c>
      <c r="I70" s="3">
        <f t="shared" si="39"/>
        <v>1</v>
      </c>
      <c r="J70" s="1" t="s">
        <v>150</v>
      </c>
    </row>
    <row r="71" spans="1:10" ht="60">
      <c r="A71" s="1">
        <v>2023</v>
      </c>
      <c r="B71" s="1" t="s">
        <v>9</v>
      </c>
      <c r="C71" s="1" t="s">
        <v>10</v>
      </c>
      <c r="D71" s="1" t="s">
        <v>147</v>
      </c>
      <c r="E71" s="1" t="s">
        <v>153</v>
      </c>
      <c r="F71" s="1" t="s">
        <v>154</v>
      </c>
      <c r="G71" s="2">
        <v>200</v>
      </c>
      <c r="H71" s="4">
        <f>29%+29%+29%</f>
        <v>0.86999999999999988</v>
      </c>
      <c r="I71" s="4">
        <f>9%+10.5%+8%</f>
        <v>0.27500000000000002</v>
      </c>
      <c r="J71" s="1" t="s">
        <v>150</v>
      </c>
    </row>
    <row r="72" spans="1:10" ht="48">
      <c r="A72" s="1">
        <v>2023</v>
      </c>
      <c r="B72" s="1" t="s">
        <v>9</v>
      </c>
      <c r="C72" s="1" t="s">
        <v>10</v>
      </c>
      <c r="D72" s="1" t="s">
        <v>147</v>
      </c>
      <c r="E72" s="1" t="s">
        <v>155</v>
      </c>
      <c r="F72" s="1" t="s">
        <v>156</v>
      </c>
      <c r="G72" s="2">
        <v>30</v>
      </c>
      <c r="H72" s="4">
        <f>10%+6.67%+6.67%</f>
        <v>0.2334</v>
      </c>
      <c r="I72" s="4">
        <f>10%+10%+0%</f>
        <v>0.2</v>
      </c>
      <c r="J72" s="1" t="s">
        <v>150</v>
      </c>
    </row>
    <row r="73" spans="1:10" ht="24">
      <c r="A73" s="1">
        <v>2023</v>
      </c>
      <c r="B73" s="1" t="s">
        <v>9</v>
      </c>
      <c r="C73" s="1" t="s">
        <v>10</v>
      </c>
      <c r="D73" s="1" t="s">
        <v>147</v>
      </c>
      <c r="E73" s="1" t="s">
        <v>158</v>
      </c>
      <c r="F73" s="1" t="s">
        <v>157</v>
      </c>
      <c r="G73" s="5">
        <v>25</v>
      </c>
      <c r="H73" s="5">
        <f>6+6+6</f>
        <v>18</v>
      </c>
      <c r="I73" s="5">
        <f>3+4+1</f>
        <v>8</v>
      </c>
      <c r="J73" s="1" t="s">
        <v>150</v>
      </c>
    </row>
    <row r="74" spans="1:10" ht="24">
      <c r="A74" s="1">
        <v>2023</v>
      </c>
      <c r="B74" s="1" t="s">
        <v>9</v>
      </c>
      <c r="C74" s="1" t="s">
        <v>10</v>
      </c>
      <c r="D74" s="1" t="s">
        <v>147</v>
      </c>
      <c r="E74" s="1" t="s">
        <v>159</v>
      </c>
      <c r="F74" s="1" t="s">
        <v>160</v>
      </c>
      <c r="G74" s="5">
        <v>25</v>
      </c>
      <c r="H74" s="5">
        <f>20+19+19</f>
        <v>58</v>
      </c>
      <c r="I74" s="5">
        <f>7+8+8</f>
        <v>23</v>
      </c>
      <c r="J74" s="1" t="s">
        <v>150</v>
      </c>
    </row>
    <row r="75" spans="1:10" ht="24">
      <c r="A75" s="1">
        <v>2023</v>
      </c>
      <c r="B75" s="1" t="s">
        <v>9</v>
      </c>
      <c r="C75" s="1" t="s">
        <v>10</v>
      </c>
      <c r="D75" s="1" t="s">
        <v>147</v>
      </c>
      <c r="E75" s="1" t="s">
        <v>161</v>
      </c>
      <c r="F75" s="1" t="s">
        <v>162</v>
      </c>
      <c r="G75" s="5">
        <v>25</v>
      </c>
      <c r="H75" s="5">
        <f>5+4+4</f>
        <v>13</v>
      </c>
      <c r="I75" s="5">
        <f>0+0+0</f>
        <v>0</v>
      </c>
      <c r="J75" s="1" t="s">
        <v>150</v>
      </c>
    </row>
    <row r="76" spans="1:10" ht="36">
      <c r="A76" s="1">
        <v>2023</v>
      </c>
      <c r="B76" s="1" t="s">
        <v>9</v>
      </c>
      <c r="C76" s="1" t="s">
        <v>10</v>
      </c>
      <c r="D76" s="1" t="s">
        <v>147</v>
      </c>
      <c r="E76" s="1" t="s">
        <v>163</v>
      </c>
      <c r="F76" s="1" t="s">
        <v>164</v>
      </c>
      <c r="G76" s="5">
        <v>25</v>
      </c>
      <c r="H76" s="5">
        <f>7+6+6</f>
        <v>19</v>
      </c>
      <c r="I76" s="5">
        <f>1+4+1</f>
        <v>6</v>
      </c>
      <c r="J76" s="1" t="s">
        <v>150</v>
      </c>
    </row>
    <row r="77" spans="1:10" ht="36">
      <c r="A77" s="1">
        <v>2023</v>
      </c>
      <c r="B77" s="1" t="s">
        <v>9</v>
      </c>
      <c r="C77" s="1" t="s">
        <v>10</v>
      </c>
      <c r="D77" s="1" t="s">
        <v>147</v>
      </c>
      <c r="E77" s="1" t="s">
        <v>165</v>
      </c>
      <c r="F77" s="1" t="s">
        <v>166</v>
      </c>
      <c r="G77" s="5">
        <v>25</v>
      </c>
      <c r="H77" s="5">
        <f>5+4+4</f>
        <v>13</v>
      </c>
      <c r="I77" s="5">
        <f>0+0+0</f>
        <v>0</v>
      </c>
      <c r="J77" s="1" t="s">
        <v>150</v>
      </c>
    </row>
    <row r="78" spans="1:10" ht="24">
      <c r="A78" s="1">
        <v>2023</v>
      </c>
      <c r="B78" s="1" t="s">
        <v>9</v>
      </c>
      <c r="C78" s="1" t="s">
        <v>10</v>
      </c>
      <c r="D78" s="1" t="s">
        <v>147</v>
      </c>
      <c r="E78" s="1" t="s">
        <v>168</v>
      </c>
      <c r="F78" s="1" t="s">
        <v>167</v>
      </c>
      <c r="G78" s="5">
        <v>25</v>
      </c>
      <c r="H78" s="5">
        <f>8+8+7</f>
        <v>23</v>
      </c>
      <c r="I78" s="5">
        <f>3+2+2</f>
        <v>7</v>
      </c>
      <c r="J78" s="1" t="s">
        <v>150</v>
      </c>
    </row>
    <row r="79" spans="1:10" ht="24">
      <c r="A79" s="1">
        <v>2023</v>
      </c>
      <c r="B79" s="1" t="s">
        <v>9</v>
      </c>
      <c r="C79" s="1" t="s">
        <v>10</v>
      </c>
      <c r="D79" s="1" t="s">
        <v>147</v>
      </c>
      <c r="E79" s="1" t="s">
        <v>169</v>
      </c>
      <c r="F79" s="1" t="s">
        <v>170</v>
      </c>
      <c r="G79" s="5">
        <v>25</v>
      </c>
      <c r="H79" s="5">
        <f>5+5+5</f>
        <v>15</v>
      </c>
      <c r="I79" s="5">
        <f>1+0+1</f>
        <v>2</v>
      </c>
      <c r="J79" s="1" t="s">
        <v>150</v>
      </c>
    </row>
    <row r="80" spans="1:10" ht="36">
      <c r="A80" s="1">
        <v>2023</v>
      </c>
      <c r="B80" s="1" t="s">
        <v>9</v>
      </c>
      <c r="C80" s="1" t="s">
        <v>10</v>
      </c>
      <c r="D80" s="1" t="s">
        <v>147</v>
      </c>
      <c r="E80" s="1" t="s">
        <v>171</v>
      </c>
      <c r="F80" s="1" t="s">
        <v>172</v>
      </c>
      <c r="G80" s="5">
        <v>25</v>
      </c>
      <c r="H80" s="5">
        <f>2+2+1</f>
        <v>5</v>
      </c>
      <c r="I80" s="5">
        <f>3+3+3</f>
        <v>9</v>
      </c>
      <c r="J80" s="1" t="s">
        <v>150</v>
      </c>
    </row>
    <row r="81" spans="1:10" ht="48">
      <c r="A81" s="1">
        <v>2023</v>
      </c>
      <c r="B81" s="1" t="s">
        <v>9</v>
      </c>
      <c r="C81" s="1" t="s">
        <v>10</v>
      </c>
      <c r="D81" s="1" t="s">
        <v>147</v>
      </c>
      <c r="E81" s="1" t="s">
        <v>173</v>
      </c>
      <c r="F81" s="1" t="s">
        <v>174</v>
      </c>
      <c r="G81" s="5">
        <v>10</v>
      </c>
      <c r="H81" s="5">
        <f t="shared" ref="H81:H83" si="40">1+0+0</f>
        <v>1</v>
      </c>
      <c r="I81" s="5">
        <f t="shared" ref="I81:I83" si="41">1+1+0</f>
        <v>2</v>
      </c>
      <c r="J81" s="1" t="s">
        <v>150</v>
      </c>
    </row>
    <row r="82" spans="1:10" ht="36">
      <c r="A82" s="1">
        <v>2023</v>
      </c>
      <c r="B82" s="1" t="s">
        <v>9</v>
      </c>
      <c r="C82" s="1" t="s">
        <v>10</v>
      </c>
      <c r="D82" s="1" t="s">
        <v>147</v>
      </c>
      <c r="E82" s="1" t="s">
        <v>175</v>
      </c>
      <c r="F82" s="1" t="s">
        <v>176</v>
      </c>
      <c r="G82" s="5">
        <v>10</v>
      </c>
      <c r="H82" s="5">
        <f t="shared" si="40"/>
        <v>1</v>
      </c>
      <c r="I82" s="5">
        <f t="shared" si="41"/>
        <v>2</v>
      </c>
      <c r="J82" s="1" t="s">
        <v>150</v>
      </c>
    </row>
    <row r="83" spans="1:10" ht="36">
      <c r="A83" s="1">
        <v>2023</v>
      </c>
      <c r="B83" s="1" t="s">
        <v>9</v>
      </c>
      <c r="C83" s="1" t="s">
        <v>10</v>
      </c>
      <c r="D83" s="1" t="s">
        <v>147</v>
      </c>
      <c r="E83" s="1" t="s">
        <v>177</v>
      </c>
      <c r="F83" s="1" t="s">
        <v>178</v>
      </c>
      <c r="G83" s="5">
        <v>10</v>
      </c>
      <c r="H83" s="5">
        <f t="shared" si="40"/>
        <v>1</v>
      </c>
      <c r="I83" s="5">
        <f t="shared" si="41"/>
        <v>2</v>
      </c>
      <c r="J83" s="1" t="s">
        <v>150</v>
      </c>
    </row>
    <row r="84" spans="1:10" ht="48">
      <c r="A84" s="1">
        <v>2023</v>
      </c>
      <c r="B84" s="1" t="s">
        <v>9</v>
      </c>
      <c r="C84" s="1" t="s">
        <v>179</v>
      </c>
      <c r="D84" s="1" t="s">
        <v>180</v>
      </c>
      <c r="E84" s="1" t="s">
        <v>181</v>
      </c>
      <c r="F84" s="1" t="s">
        <v>182</v>
      </c>
      <c r="G84" s="2">
        <v>0</v>
      </c>
      <c r="H84" s="3">
        <f t="shared" ref="H84:I84" si="42">0%+0%+100%</f>
        <v>1</v>
      </c>
      <c r="I84" s="3">
        <f t="shared" si="42"/>
        <v>1</v>
      </c>
      <c r="J84" s="1" t="s">
        <v>183</v>
      </c>
    </row>
    <row r="85" spans="1:10" ht="48">
      <c r="A85" s="1">
        <v>2023</v>
      </c>
      <c r="B85" s="1" t="s">
        <v>9</v>
      </c>
      <c r="C85" s="1" t="s">
        <v>179</v>
      </c>
      <c r="D85" s="1" t="s">
        <v>180</v>
      </c>
      <c r="E85" s="1" t="s">
        <v>184</v>
      </c>
      <c r="F85" s="1" t="s">
        <v>185</v>
      </c>
      <c r="G85" s="2">
        <v>0</v>
      </c>
      <c r="H85" s="3">
        <f t="shared" ref="H85:I85" si="43">0%+0%+100%</f>
        <v>1</v>
      </c>
      <c r="I85" s="3">
        <f t="shared" si="43"/>
        <v>1</v>
      </c>
      <c r="J85" s="1" t="s">
        <v>183</v>
      </c>
    </row>
    <row r="86" spans="1:10" ht="72">
      <c r="A86" s="1">
        <v>2023</v>
      </c>
      <c r="B86" s="1" t="s">
        <v>9</v>
      </c>
      <c r="C86" s="1" t="s">
        <v>179</v>
      </c>
      <c r="D86" s="1" t="s">
        <v>180</v>
      </c>
      <c r="E86" s="1" t="s">
        <v>186</v>
      </c>
      <c r="F86" s="1" t="s">
        <v>187</v>
      </c>
      <c r="G86" s="2">
        <v>18739</v>
      </c>
      <c r="H86" s="4">
        <f>80.1%+78.8%+78.76%</f>
        <v>2.3765999999999998</v>
      </c>
      <c r="I86" s="4">
        <f>6.33%+2.36%+0.37%</f>
        <v>9.0599999999999986E-2</v>
      </c>
      <c r="J86" s="1" t="s">
        <v>183</v>
      </c>
    </row>
    <row r="87" spans="1:10" ht="72">
      <c r="A87" s="1">
        <v>2023</v>
      </c>
      <c r="B87" s="1" t="s">
        <v>9</v>
      </c>
      <c r="C87" s="1" t="s">
        <v>179</v>
      </c>
      <c r="D87" s="1" t="s">
        <v>180</v>
      </c>
      <c r="E87" s="1" t="s">
        <v>188</v>
      </c>
      <c r="F87" s="1" t="s">
        <v>189</v>
      </c>
      <c r="G87" s="2">
        <v>7074</v>
      </c>
      <c r="H87" s="4">
        <f>3.75%+3.53%+3.08%</f>
        <v>0.1036</v>
      </c>
      <c r="I87" s="4">
        <f>0.94%+0.65%+0.21%</f>
        <v>1.7999999999999999E-2</v>
      </c>
      <c r="J87" s="1" t="s">
        <v>183</v>
      </c>
    </row>
    <row r="88" spans="1:10" ht="72">
      <c r="A88" s="1">
        <v>2023</v>
      </c>
      <c r="B88" s="1" t="s">
        <v>9</v>
      </c>
      <c r="C88" s="1" t="s">
        <v>179</v>
      </c>
      <c r="D88" s="1" t="s">
        <v>180</v>
      </c>
      <c r="E88" s="1" t="s">
        <v>190</v>
      </c>
      <c r="F88" s="1" t="s">
        <v>191</v>
      </c>
      <c r="G88" s="2">
        <v>6209</v>
      </c>
      <c r="H88" s="4">
        <f>1.12%+1%+2%</f>
        <v>4.1200000000000001E-2</v>
      </c>
      <c r="I88" s="4">
        <f>1.18%+0.67%+0.06%</f>
        <v>1.9099999999999999E-2</v>
      </c>
      <c r="J88" s="1" t="s">
        <v>183</v>
      </c>
    </row>
    <row r="89" spans="1:10" ht="36">
      <c r="A89" s="1">
        <v>2023</v>
      </c>
      <c r="B89" s="1" t="s">
        <v>9</v>
      </c>
      <c r="C89" s="1" t="s">
        <v>179</v>
      </c>
      <c r="D89" s="1" t="s">
        <v>180</v>
      </c>
      <c r="E89" s="1" t="s">
        <v>192</v>
      </c>
      <c r="F89" s="1" t="s">
        <v>193</v>
      </c>
      <c r="G89" s="11">
        <v>6246</v>
      </c>
      <c r="H89" s="11">
        <f t="shared" ref="H89:H91" si="44">200+200+200</f>
        <v>600</v>
      </c>
      <c r="I89" s="11">
        <f t="shared" ref="I89:I91" si="45">3016+2483+2136</f>
        <v>7635</v>
      </c>
      <c r="J89" s="1" t="s">
        <v>183</v>
      </c>
    </row>
    <row r="90" spans="1:10" ht="36">
      <c r="A90" s="1">
        <v>2023</v>
      </c>
      <c r="B90" s="1" t="s">
        <v>9</v>
      </c>
      <c r="C90" s="1" t="s">
        <v>179</v>
      </c>
      <c r="D90" s="1" t="s">
        <v>180</v>
      </c>
      <c r="E90" s="1" t="s">
        <v>194</v>
      </c>
      <c r="F90" s="1" t="s">
        <v>195</v>
      </c>
      <c r="G90" s="11">
        <v>6246</v>
      </c>
      <c r="H90" s="11">
        <f t="shared" si="44"/>
        <v>600</v>
      </c>
      <c r="I90" s="11">
        <f t="shared" si="45"/>
        <v>7635</v>
      </c>
      <c r="J90" s="1" t="s">
        <v>183</v>
      </c>
    </row>
    <row r="91" spans="1:10" ht="36">
      <c r="A91" s="1">
        <v>2023</v>
      </c>
      <c r="B91" s="1" t="s">
        <v>9</v>
      </c>
      <c r="C91" s="1" t="s">
        <v>179</v>
      </c>
      <c r="D91" s="1" t="s">
        <v>180</v>
      </c>
      <c r="E91" s="1" t="s">
        <v>196</v>
      </c>
      <c r="F91" s="1" t="s">
        <v>197</v>
      </c>
      <c r="G91" s="11">
        <v>6246</v>
      </c>
      <c r="H91" s="11">
        <f t="shared" si="44"/>
        <v>600</v>
      </c>
      <c r="I91" s="11">
        <f t="shared" si="45"/>
        <v>7635</v>
      </c>
      <c r="J91" s="1" t="s">
        <v>183</v>
      </c>
    </row>
    <row r="92" spans="1:10" ht="36">
      <c r="A92" s="1">
        <v>2023</v>
      </c>
      <c r="B92" s="1" t="s">
        <v>9</v>
      </c>
      <c r="C92" s="1" t="s">
        <v>179</v>
      </c>
      <c r="D92" s="1" t="s">
        <v>180</v>
      </c>
      <c r="E92" s="1" t="s">
        <v>198</v>
      </c>
      <c r="F92" s="1" t="s">
        <v>199</v>
      </c>
      <c r="G92" s="11">
        <v>1769</v>
      </c>
      <c r="H92" s="11">
        <f>147+147+147</f>
        <v>441</v>
      </c>
      <c r="I92" s="11">
        <f>3+2+1</f>
        <v>6</v>
      </c>
      <c r="J92" s="1" t="s">
        <v>183</v>
      </c>
    </row>
    <row r="93" spans="1:10" ht="36">
      <c r="A93" s="1">
        <v>2023</v>
      </c>
      <c r="B93" s="1" t="s">
        <v>9</v>
      </c>
      <c r="C93" s="1" t="s">
        <v>179</v>
      </c>
      <c r="D93" s="1" t="s">
        <v>180</v>
      </c>
      <c r="E93" s="1" t="s">
        <v>200</v>
      </c>
      <c r="F93" s="1" t="s">
        <v>201</v>
      </c>
      <c r="G93" s="11">
        <v>1769</v>
      </c>
      <c r="H93" s="11">
        <f t="shared" ref="H93:H94" si="46">100+50+0</f>
        <v>150</v>
      </c>
      <c r="I93" s="11">
        <f t="shared" ref="I93:I94" si="47">2609+1823+1308</f>
        <v>5740</v>
      </c>
      <c r="J93" s="1" t="s">
        <v>183</v>
      </c>
    </row>
    <row r="94" spans="1:10" ht="36">
      <c r="A94" s="1">
        <v>2023</v>
      </c>
      <c r="B94" s="1" t="s">
        <v>9</v>
      </c>
      <c r="C94" s="1" t="s">
        <v>179</v>
      </c>
      <c r="D94" s="1" t="s">
        <v>180</v>
      </c>
      <c r="E94" s="1" t="s">
        <v>202</v>
      </c>
      <c r="F94" s="1" t="s">
        <v>203</v>
      </c>
      <c r="G94" s="11">
        <v>1769</v>
      </c>
      <c r="H94" s="11">
        <f t="shared" si="46"/>
        <v>150</v>
      </c>
      <c r="I94" s="11">
        <f t="shared" si="47"/>
        <v>5740</v>
      </c>
      <c r="J94" s="1" t="s">
        <v>183</v>
      </c>
    </row>
    <row r="95" spans="1:10" ht="36">
      <c r="A95" s="1">
        <v>2023</v>
      </c>
      <c r="B95" s="1" t="s">
        <v>9</v>
      </c>
      <c r="C95" s="1" t="s">
        <v>179</v>
      </c>
      <c r="D95" s="1" t="s">
        <v>180</v>
      </c>
      <c r="E95" s="1" t="s">
        <v>204</v>
      </c>
      <c r="F95" s="1" t="s">
        <v>205</v>
      </c>
      <c r="G95" s="11">
        <v>1769</v>
      </c>
      <c r="H95" s="11">
        <f>90+45+0</f>
        <v>135</v>
      </c>
      <c r="I95" s="11">
        <f>2609+2562+604</f>
        <v>5775</v>
      </c>
      <c r="J95" s="1" t="s">
        <v>183</v>
      </c>
    </row>
    <row r="96" spans="1:10" ht="36">
      <c r="A96" s="1">
        <v>2023</v>
      </c>
      <c r="B96" s="1" t="s">
        <v>9</v>
      </c>
      <c r="C96" s="1" t="s">
        <v>179</v>
      </c>
      <c r="D96" s="1" t="s">
        <v>180</v>
      </c>
      <c r="E96" s="1" t="s">
        <v>206</v>
      </c>
      <c r="F96" s="1" t="s">
        <v>207</v>
      </c>
      <c r="G96" s="11">
        <v>1242</v>
      </c>
      <c r="H96" s="11">
        <f t="shared" ref="H96:H100" si="48">100+50+0</f>
        <v>150</v>
      </c>
      <c r="I96" s="11">
        <f t="shared" ref="I96:I100" si="49">3098+2625+362</f>
        <v>6085</v>
      </c>
      <c r="J96" s="1" t="s">
        <v>183</v>
      </c>
    </row>
    <row r="97" spans="1:10" ht="36">
      <c r="A97" s="1">
        <v>2023</v>
      </c>
      <c r="B97" s="1" t="s">
        <v>9</v>
      </c>
      <c r="C97" s="1" t="s">
        <v>179</v>
      </c>
      <c r="D97" s="1" t="s">
        <v>180</v>
      </c>
      <c r="E97" s="1" t="s">
        <v>208</v>
      </c>
      <c r="F97" s="1" t="s">
        <v>209</v>
      </c>
      <c r="G97" s="11">
        <v>1242</v>
      </c>
      <c r="H97" s="11">
        <f t="shared" si="48"/>
        <v>150</v>
      </c>
      <c r="I97" s="11">
        <f t="shared" si="49"/>
        <v>6085</v>
      </c>
      <c r="J97" s="1" t="s">
        <v>183</v>
      </c>
    </row>
    <row r="98" spans="1:10" ht="36">
      <c r="A98" s="1">
        <v>2023</v>
      </c>
      <c r="B98" s="1" t="s">
        <v>9</v>
      </c>
      <c r="C98" s="1" t="s">
        <v>179</v>
      </c>
      <c r="D98" s="1" t="s">
        <v>180</v>
      </c>
      <c r="E98" s="1" t="s">
        <v>210</v>
      </c>
      <c r="F98" s="1" t="s">
        <v>211</v>
      </c>
      <c r="G98" s="11">
        <v>1242</v>
      </c>
      <c r="H98" s="11">
        <f t="shared" si="48"/>
        <v>150</v>
      </c>
      <c r="I98" s="11">
        <f t="shared" si="49"/>
        <v>6085</v>
      </c>
      <c r="J98" s="1" t="s">
        <v>183</v>
      </c>
    </row>
    <row r="99" spans="1:10" ht="36">
      <c r="A99" s="1">
        <v>2023</v>
      </c>
      <c r="B99" s="1" t="s">
        <v>9</v>
      </c>
      <c r="C99" s="1" t="s">
        <v>179</v>
      </c>
      <c r="D99" s="1" t="s">
        <v>180</v>
      </c>
      <c r="E99" s="1" t="s">
        <v>212</v>
      </c>
      <c r="F99" s="1" t="s">
        <v>213</v>
      </c>
      <c r="G99" s="11">
        <v>1242</v>
      </c>
      <c r="H99" s="11">
        <f t="shared" si="48"/>
        <v>150</v>
      </c>
      <c r="I99" s="11">
        <f t="shared" si="49"/>
        <v>6085</v>
      </c>
      <c r="J99" s="1" t="s">
        <v>183</v>
      </c>
    </row>
    <row r="100" spans="1:10" ht="36">
      <c r="A100" s="1">
        <v>2023</v>
      </c>
      <c r="B100" s="1" t="s">
        <v>9</v>
      </c>
      <c r="C100" s="1" t="s">
        <v>179</v>
      </c>
      <c r="D100" s="1" t="s">
        <v>180</v>
      </c>
      <c r="E100" s="1" t="s">
        <v>214</v>
      </c>
      <c r="F100" s="1" t="s">
        <v>215</v>
      </c>
      <c r="G100" s="11">
        <v>1242</v>
      </c>
      <c r="H100" s="11">
        <f t="shared" si="48"/>
        <v>150</v>
      </c>
      <c r="I100" s="11">
        <f t="shared" si="49"/>
        <v>6085</v>
      </c>
      <c r="J100" s="1" t="s">
        <v>183</v>
      </c>
    </row>
    <row r="101" spans="1:10" ht="36">
      <c r="A101" s="1">
        <v>2023</v>
      </c>
      <c r="B101" s="1" t="s">
        <v>9</v>
      </c>
      <c r="C101" s="1" t="s">
        <v>179</v>
      </c>
      <c r="D101" s="1" t="s">
        <v>216</v>
      </c>
      <c r="E101" s="1" t="s">
        <v>217</v>
      </c>
      <c r="F101" s="1" t="s">
        <v>218</v>
      </c>
      <c r="G101" s="2">
        <v>0</v>
      </c>
      <c r="H101" s="3">
        <f t="shared" ref="H101:I101" si="50">0%+0%+100%</f>
        <v>1</v>
      </c>
      <c r="I101" s="3">
        <f t="shared" si="50"/>
        <v>1</v>
      </c>
      <c r="J101" s="1" t="s">
        <v>219</v>
      </c>
    </row>
    <row r="102" spans="1:10" ht="36">
      <c r="A102" s="1">
        <v>2023</v>
      </c>
      <c r="B102" s="1" t="s">
        <v>9</v>
      </c>
      <c r="C102" s="1" t="s">
        <v>179</v>
      </c>
      <c r="D102" s="1" t="s">
        <v>216</v>
      </c>
      <c r="E102" s="1" t="s">
        <v>220</v>
      </c>
      <c r="F102" s="1" t="s">
        <v>221</v>
      </c>
      <c r="G102" s="2">
        <v>0</v>
      </c>
      <c r="H102" s="3">
        <f t="shared" ref="H102:I102" si="51">0%+0%+100%</f>
        <v>1</v>
      </c>
      <c r="I102" s="3">
        <f t="shared" si="51"/>
        <v>1</v>
      </c>
      <c r="J102" s="1" t="s">
        <v>219</v>
      </c>
    </row>
    <row r="103" spans="1:10" ht="60">
      <c r="A103" s="1">
        <v>2023</v>
      </c>
      <c r="B103" s="1" t="s">
        <v>9</v>
      </c>
      <c r="C103" s="1" t="s">
        <v>179</v>
      </c>
      <c r="D103" s="1" t="s">
        <v>216</v>
      </c>
      <c r="E103" s="1" t="s">
        <v>222</v>
      </c>
      <c r="F103" s="1" t="s">
        <v>223</v>
      </c>
      <c r="G103" s="11">
        <v>6455</v>
      </c>
      <c r="H103" s="4">
        <f>15.59%+15.33%+13.83%</f>
        <v>0.44750000000000001</v>
      </c>
      <c r="I103" s="4">
        <f>8.93%+2.62%+0.46%</f>
        <v>0.12009999999999998</v>
      </c>
      <c r="J103" s="1" t="s">
        <v>219</v>
      </c>
    </row>
    <row r="104" spans="1:10" ht="60">
      <c r="A104" s="1">
        <v>2023</v>
      </c>
      <c r="B104" s="1" t="s">
        <v>9</v>
      </c>
      <c r="C104" s="1" t="s">
        <v>179</v>
      </c>
      <c r="D104" s="1" t="s">
        <v>216</v>
      </c>
      <c r="E104" s="1" t="s">
        <v>224</v>
      </c>
      <c r="F104" s="1" t="s">
        <v>225</v>
      </c>
      <c r="G104" s="11">
        <v>2918</v>
      </c>
      <c r="H104" s="4">
        <f>21.55%+21.55%+18.23%</f>
        <v>0.61329999999999996</v>
      </c>
      <c r="I104" s="4">
        <f>19.05%+5.82%+1.64%</f>
        <v>0.2651</v>
      </c>
      <c r="J104" s="1" t="s">
        <v>219</v>
      </c>
    </row>
    <row r="105" spans="1:10" ht="36">
      <c r="A105" s="1">
        <v>2023</v>
      </c>
      <c r="B105" s="1" t="s">
        <v>9</v>
      </c>
      <c r="C105" s="1" t="s">
        <v>179</v>
      </c>
      <c r="D105" s="1" t="s">
        <v>216</v>
      </c>
      <c r="E105" s="1" t="s">
        <v>226</v>
      </c>
      <c r="F105" s="1" t="s">
        <v>227</v>
      </c>
      <c r="G105" s="11">
        <v>2317</v>
      </c>
      <c r="H105" s="4">
        <f>2.78%+2.78%+1.11%</f>
        <v>6.6699999999999995E-2</v>
      </c>
      <c r="I105" s="4">
        <f>10.33%+5.17%+8.5%</f>
        <v>0.24</v>
      </c>
      <c r="J105" s="1" t="s">
        <v>219</v>
      </c>
    </row>
    <row r="106" spans="1:10" ht="36">
      <c r="A106" s="1">
        <v>2023</v>
      </c>
      <c r="B106" s="1" t="s">
        <v>9</v>
      </c>
      <c r="C106" s="1" t="s">
        <v>179</v>
      </c>
      <c r="D106" s="1" t="s">
        <v>216</v>
      </c>
      <c r="E106" s="1" t="s">
        <v>192</v>
      </c>
      <c r="F106" s="1" t="s">
        <v>193</v>
      </c>
      <c r="G106" s="11">
        <v>2152</v>
      </c>
      <c r="H106" s="11">
        <f t="shared" ref="H106:H108" si="52">587+587+587</f>
        <v>1761</v>
      </c>
      <c r="I106" s="11">
        <f t="shared" ref="I106:I108" si="53">310+91+16</f>
        <v>417</v>
      </c>
      <c r="J106" s="1" t="s">
        <v>219</v>
      </c>
    </row>
    <row r="107" spans="1:10" ht="36">
      <c r="A107" s="1">
        <v>2023</v>
      </c>
      <c r="B107" s="1" t="s">
        <v>9</v>
      </c>
      <c r="C107" s="1" t="s">
        <v>179</v>
      </c>
      <c r="D107" s="1" t="s">
        <v>216</v>
      </c>
      <c r="E107" s="1" t="s">
        <v>228</v>
      </c>
      <c r="F107" s="1" t="s">
        <v>229</v>
      </c>
      <c r="G107" s="11">
        <v>2152</v>
      </c>
      <c r="H107" s="11">
        <f t="shared" si="52"/>
        <v>1761</v>
      </c>
      <c r="I107" s="11">
        <f t="shared" si="53"/>
        <v>417</v>
      </c>
      <c r="J107" s="1" t="s">
        <v>219</v>
      </c>
    </row>
    <row r="108" spans="1:10" ht="36">
      <c r="A108" s="1">
        <v>2023</v>
      </c>
      <c r="B108" s="1" t="s">
        <v>9</v>
      </c>
      <c r="C108" s="1" t="s">
        <v>179</v>
      </c>
      <c r="D108" s="1" t="s">
        <v>216</v>
      </c>
      <c r="E108" s="1" t="s">
        <v>230</v>
      </c>
      <c r="F108" s="1" t="s">
        <v>231</v>
      </c>
      <c r="G108" s="11">
        <v>2152</v>
      </c>
      <c r="H108" s="11">
        <f t="shared" si="52"/>
        <v>1761</v>
      </c>
      <c r="I108" s="11">
        <f t="shared" si="53"/>
        <v>417</v>
      </c>
      <c r="J108" s="1" t="s">
        <v>219</v>
      </c>
    </row>
    <row r="109" spans="1:10" ht="36">
      <c r="A109" s="1">
        <v>2023</v>
      </c>
      <c r="B109" s="1" t="s">
        <v>9</v>
      </c>
      <c r="C109" s="1" t="s">
        <v>179</v>
      </c>
      <c r="D109" s="1" t="s">
        <v>216</v>
      </c>
      <c r="E109" s="1" t="s">
        <v>232</v>
      </c>
      <c r="F109" s="1" t="s">
        <v>233</v>
      </c>
      <c r="G109" s="11">
        <v>584</v>
      </c>
      <c r="H109" s="11">
        <f t="shared" ref="H109:H110" si="54">543+543+542</f>
        <v>1628</v>
      </c>
      <c r="I109" s="11">
        <f t="shared" ref="I109:I110" si="55">572+265+170</f>
        <v>1007</v>
      </c>
      <c r="J109" s="1" t="s">
        <v>219</v>
      </c>
    </row>
    <row r="110" spans="1:10" ht="36">
      <c r="A110" s="1">
        <v>2023</v>
      </c>
      <c r="B110" s="1" t="s">
        <v>9</v>
      </c>
      <c r="C110" s="1" t="s">
        <v>179</v>
      </c>
      <c r="D110" s="1" t="s">
        <v>216</v>
      </c>
      <c r="E110" s="1" t="s">
        <v>234</v>
      </c>
      <c r="F110" s="1" t="s">
        <v>235</v>
      </c>
      <c r="G110" s="11">
        <v>584</v>
      </c>
      <c r="H110" s="11">
        <f t="shared" si="54"/>
        <v>1628</v>
      </c>
      <c r="I110" s="11">
        <f t="shared" si="55"/>
        <v>1007</v>
      </c>
      <c r="J110" s="1" t="s">
        <v>219</v>
      </c>
    </row>
    <row r="111" spans="1:10" ht="36">
      <c r="A111" s="1">
        <v>2023</v>
      </c>
      <c r="B111" s="1" t="s">
        <v>9</v>
      </c>
      <c r="C111" s="1" t="s">
        <v>179</v>
      </c>
      <c r="D111" s="1" t="s">
        <v>216</v>
      </c>
      <c r="E111" s="1" t="s">
        <v>236</v>
      </c>
      <c r="F111" s="1" t="s">
        <v>237</v>
      </c>
      <c r="G111" s="11">
        <v>584</v>
      </c>
      <c r="H111" s="11">
        <f>72+72+70</f>
        <v>214</v>
      </c>
      <c r="I111" s="11">
        <f>0+0+0</f>
        <v>0</v>
      </c>
      <c r="J111" s="1" t="s">
        <v>219</v>
      </c>
    </row>
    <row r="112" spans="1:10" ht="36">
      <c r="A112" s="1">
        <v>2023</v>
      </c>
      <c r="B112" s="1" t="s">
        <v>9</v>
      </c>
      <c r="C112" s="1" t="s">
        <v>179</v>
      </c>
      <c r="D112" s="1" t="s">
        <v>216</v>
      </c>
      <c r="E112" s="1" t="s">
        <v>202</v>
      </c>
      <c r="F112" s="1" t="s">
        <v>238</v>
      </c>
      <c r="G112" s="11">
        <v>584</v>
      </c>
      <c r="H112" s="11">
        <f t="shared" ref="H112:H113" si="56">543+543+542</f>
        <v>1628</v>
      </c>
      <c r="I112" s="11">
        <f t="shared" ref="I112:I113" si="57">572+265+170</f>
        <v>1007</v>
      </c>
      <c r="J112" s="1" t="s">
        <v>219</v>
      </c>
    </row>
    <row r="113" spans="1:10" ht="36">
      <c r="A113" s="1">
        <v>2023</v>
      </c>
      <c r="B113" s="1" t="s">
        <v>9</v>
      </c>
      <c r="C113" s="1" t="s">
        <v>179</v>
      </c>
      <c r="D113" s="1" t="s">
        <v>216</v>
      </c>
      <c r="E113" s="1" t="s">
        <v>204</v>
      </c>
      <c r="F113" s="1" t="s">
        <v>205</v>
      </c>
      <c r="G113" s="11">
        <v>584</v>
      </c>
      <c r="H113" s="11">
        <f t="shared" si="56"/>
        <v>1628</v>
      </c>
      <c r="I113" s="11">
        <f t="shared" si="57"/>
        <v>1007</v>
      </c>
      <c r="J113" s="1" t="s">
        <v>219</v>
      </c>
    </row>
    <row r="114" spans="1:10" ht="36">
      <c r="A114" s="1">
        <v>2023</v>
      </c>
      <c r="B114" s="1" t="s">
        <v>9</v>
      </c>
      <c r="C114" s="1" t="s">
        <v>179</v>
      </c>
      <c r="D114" s="1" t="s">
        <v>216</v>
      </c>
      <c r="E114" s="1" t="s">
        <v>206</v>
      </c>
      <c r="F114" s="1" t="s">
        <v>239</v>
      </c>
      <c r="G114" s="11">
        <v>772</v>
      </c>
      <c r="H114" s="11">
        <f t="shared" ref="H114:H116" si="58">373+373+372</f>
        <v>1118</v>
      </c>
      <c r="I114" s="11">
        <f t="shared" ref="I114:I116" si="59">422+329+247</f>
        <v>998</v>
      </c>
      <c r="J114" s="1" t="s">
        <v>219</v>
      </c>
    </row>
    <row r="115" spans="1:10" ht="36">
      <c r="A115" s="1">
        <v>2023</v>
      </c>
      <c r="B115" s="1" t="s">
        <v>9</v>
      </c>
      <c r="C115" s="1" t="s">
        <v>179</v>
      </c>
      <c r="D115" s="1" t="s">
        <v>216</v>
      </c>
      <c r="E115" s="1" t="s">
        <v>208</v>
      </c>
      <c r="F115" s="1" t="s">
        <v>240</v>
      </c>
      <c r="G115" s="11">
        <v>772</v>
      </c>
      <c r="H115" s="11">
        <f t="shared" si="58"/>
        <v>1118</v>
      </c>
      <c r="I115" s="11">
        <f t="shared" si="59"/>
        <v>998</v>
      </c>
      <c r="J115" s="1" t="s">
        <v>219</v>
      </c>
    </row>
    <row r="116" spans="1:10" ht="36">
      <c r="A116" s="1">
        <v>2023</v>
      </c>
      <c r="B116" s="1" t="s">
        <v>9</v>
      </c>
      <c r="C116" s="1" t="s">
        <v>179</v>
      </c>
      <c r="D116" s="1" t="s">
        <v>216</v>
      </c>
      <c r="E116" s="1" t="s">
        <v>241</v>
      </c>
      <c r="F116" s="1" t="s">
        <v>242</v>
      </c>
      <c r="G116" s="11">
        <v>772</v>
      </c>
      <c r="H116" s="11">
        <f t="shared" si="58"/>
        <v>1118</v>
      </c>
      <c r="I116" s="11">
        <f t="shared" si="59"/>
        <v>998</v>
      </c>
      <c r="J116" s="1" t="s">
        <v>219</v>
      </c>
    </row>
    <row r="117" spans="1:10" ht="48">
      <c r="A117" s="1">
        <v>2023</v>
      </c>
      <c r="B117" s="1" t="s">
        <v>9</v>
      </c>
      <c r="C117" s="1" t="s">
        <v>179</v>
      </c>
      <c r="D117" s="1" t="s">
        <v>243</v>
      </c>
      <c r="E117" s="1" t="s">
        <v>244</v>
      </c>
      <c r="F117" s="1" t="s">
        <v>245</v>
      </c>
      <c r="G117" s="2">
        <v>0</v>
      </c>
      <c r="H117" s="3">
        <f t="shared" ref="H117:I117" si="60">0%+0%+100%</f>
        <v>1</v>
      </c>
      <c r="I117" s="3">
        <f t="shared" si="60"/>
        <v>1</v>
      </c>
      <c r="J117" s="1" t="s">
        <v>183</v>
      </c>
    </row>
    <row r="118" spans="1:10" ht="36">
      <c r="A118" s="1">
        <v>2023</v>
      </c>
      <c r="B118" s="1" t="s">
        <v>9</v>
      </c>
      <c r="C118" s="1" t="s">
        <v>179</v>
      </c>
      <c r="D118" s="1" t="s">
        <v>243</v>
      </c>
      <c r="E118" s="1" t="s">
        <v>246</v>
      </c>
      <c r="F118" s="1" t="s">
        <v>247</v>
      </c>
      <c r="G118" s="2">
        <v>0</v>
      </c>
      <c r="H118" s="3">
        <f t="shared" ref="H118:I118" si="61">0%+0%+100%</f>
        <v>1</v>
      </c>
      <c r="I118" s="3">
        <f t="shared" si="61"/>
        <v>1</v>
      </c>
      <c r="J118" s="1" t="s">
        <v>183</v>
      </c>
    </row>
    <row r="119" spans="1:10" ht="48">
      <c r="A119" s="1">
        <v>2023</v>
      </c>
      <c r="B119" s="1" t="s">
        <v>9</v>
      </c>
      <c r="C119" s="1" t="s">
        <v>179</v>
      </c>
      <c r="D119" s="1" t="s">
        <v>243</v>
      </c>
      <c r="E119" s="1" t="s">
        <v>248</v>
      </c>
      <c r="F119" s="1" t="s">
        <v>249</v>
      </c>
      <c r="G119" s="2">
        <v>122</v>
      </c>
      <c r="H119" s="4">
        <f>171%+168%+100%</f>
        <v>4.3899999999999997</v>
      </c>
      <c r="I119" s="4">
        <f>13.81%+8.68%+5.37%</f>
        <v>0.27859999999999996</v>
      </c>
      <c r="J119" s="1" t="s">
        <v>183</v>
      </c>
    </row>
    <row r="120" spans="1:10" ht="48">
      <c r="A120" s="1">
        <v>2023</v>
      </c>
      <c r="B120" s="1" t="s">
        <v>9</v>
      </c>
      <c r="C120" s="1" t="s">
        <v>179</v>
      </c>
      <c r="D120" s="1" t="s">
        <v>243</v>
      </c>
      <c r="E120" s="1" t="s">
        <v>250</v>
      </c>
      <c r="F120" s="1" t="s">
        <v>21</v>
      </c>
      <c r="G120" s="2">
        <v>717</v>
      </c>
      <c r="H120" s="4">
        <f>8.33%+8.33%+8.33%</f>
        <v>0.24990000000000001</v>
      </c>
      <c r="I120" s="4">
        <f>5.56%+5.56%+2.78%</f>
        <v>0.13899999999999998</v>
      </c>
      <c r="J120" s="1" t="s">
        <v>183</v>
      </c>
    </row>
    <row r="121" spans="1:10" ht="36">
      <c r="A121" s="1">
        <v>2023</v>
      </c>
      <c r="B121" s="1" t="s">
        <v>9</v>
      </c>
      <c r="C121" s="1" t="s">
        <v>179</v>
      </c>
      <c r="D121" s="1" t="s">
        <v>243</v>
      </c>
      <c r="E121" s="1" t="s">
        <v>251</v>
      </c>
      <c r="F121" s="1" t="s">
        <v>252</v>
      </c>
      <c r="G121" s="5">
        <v>31</v>
      </c>
      <c r="H121" s="5">
        <f t="shared" ref="H121:H124" si="62">73+73+73</f>
        <v>219</v>
      </c>
      <c r="I121" s="5">
        <f t="shared" ref="I121:I124" si="63">121+76+47</f>
        <v>244</v>
      </c>
      <c r="J121" s="1" t="s">
        <v>183</v>
      </c>
    </row>
    <row r="122" spans="1:10" ht="36">
      <c r="A122" s="1">
        <v>2023</v>
      </c>
      <c r="B122" s="1" t="s">
        <v>9</v>
      </c>
      <c r="C122" s="1" t="s">
        <v>179</v>
      </c>
      <c r="D122" s="1" t="s">
        <v>243</v>
      </c>
      <c r="E122" s="1" t="s">
        <v>253</v>
      </c>
      <c r="F122" s="1" t="s">
        <v>254</v>
      </c>
      <c r="G122" s="5">
        <v>31</v>
      </c>
      <c r="H122" s="5">
        <f t="shared" si="62"/>
        <v>219</v>
      </c>
      <c r="I122" s="5">
        <f t="shared" si="63"/>
        <v>244</v>
      </c>
      <c r="J122" s="1" t="s">
        <v>183</v>
      </c>
    </row>
    <row r="123" spans="1:10" ht="36">
      <c r="A123" s="1">
        <v>2023</v>
      </c>
      <c r="B123" s="1" t="s">
        <v>9</v>
      </c>
      <c r="C123" s="1" t="s">
        <v>179</v>
      </c>
      <c r="D123" s="1" t="s">
        <v>243</v>
      </c>
      <c r="E123" s="1" t="s">
        <v>255</v>
      </c>
      <c r="F123" s="1" t="s">
        <v>256</v>
      </c>
      <c r="G123" s="5">
        <v>31</v>
      </c>
      <c r="H123" s="5">
        <f t="shared" si="62"/>
        <v>219</v>
      </c>
      <c r="I123" s="5">
        <f t="shared" si="63"/>
        <v>244</v>
      </c>
      <c r="J123" s="1" t="s">
        <v>183</v>
      </c>
    </row>
    <row r="124" spans="1:10" ht="36">
      <c r="A124" s="1">
        <v>2023</v>
      </c>
      <c r="B124" s="1" t="s">
        <v>9</v>
      </c>
      <c r="C124" s="1" t="s">
        <v>179</v>
      </c>
      <c r="D124" s="1" t="s">
        <v>243</v>
      </c>
      <c r="E124" s="1" t="s">
        <v>257</v>
      </c>
      <c r="F124" s="1" t="s">
        <v>258</v>
      </c>
      <c r="G124" s="5">
        <v>31</v>
      </c>
      <c r="H124" s="5">
        <f t="shared" si="62"/>
        <v>219</v>
      </c>
      <c r="I124" s="5">
        <f t="shared" si="63"/>
        <v>244</v>
      </c>
      <c r="J124" s="1" t="s">
        <v>183</v>
      </c>
    </row>
    <row r="125" spans="1:10" ht="36">
      <c r="A125" s="1">
        <v>2023</v>
      </c>
      <c r="B125" s="1" t="s">
        <v>9</v>
      </c>
      <c r="C125" s="1" t="s">
        <v>179</v>
      </c>
      <c r="D125" s="1" t="s">
        <v>243</v>
      </c>
      <c r="E125" s="1" t="s">
        <v>259</v>
      </c>
      <c r="F125" s="1" t="s">
        <v>260</v>
      </c>
      <c r="G125" s="5">
        <v>102</v>
      </c>
      <c r="H125" s="5">
        <f>0+1+0</f>
        <v>1</v>
      </c>
      <c r="I125" s="5">
        <f>0+0+0</f>
        <v>0</v>
      </c>
      <c r="J125" s="1" t="s">
        <v>183</v>
      </c>
    </row>
    <row r="126" spans="1:10" ht="36">
      <c r="A126" s="1">
        <v>2023</v>
      </c>
      <c r="B126" s="1" t="s">
        <v>9</v>
      </c>
      <c r="C126" s="1" t="s">
        <v>179</v>
      </c>
      <c r="D126" s="1" t="s">
        <v>243</v>
      </c>
      <c r="E126" s="1" t="s">
        <v>261</v>
      </c>
      <c r="F126" s="1" t="s">
        <v>262</v>
      </c>
      <c r="G126" s="5">
        <v>102</v>
      </c>
      <c r="H126" s="5">
        <f>2+2+1</f>
        <v>5</v>
      </c>
      <c r="I126" s="5">
        <f>12+7+7</f>
        <v>26</v>
      </c>
      <c r="J126" s="1" t="s">
        <v>183</v>
      </c>
    </row>
    <row r="127" spans="1:10" ht="36">
      <c r="A127" s="1">
        <v>2023</v>
      </c>
      <c r="B127" s="1" t="s">
        <v>9</v>
      </c>
      <c r="C127" s="1" t="s">
        <v>179</v>
      </c>
      <c r="D127" s="1" t="s">
        <v>243</v>
      </c>
      <c r="E127" s="1" t="s">
        <v>263</v>
      </c>
      <c r="F127" s="1" t="s">
        <v>37</v>
      </c>
      <c r="G127" s="5">
        <v>102</v>
      </c>
      <c r="H127" s="5">
        <f>1+1+0</f>
        <v>2</v>
      </c>
      <c r="I127" s="5">
        <f t="shared" ref="I127:I131" si="64">0+0+0</f>
        <v>0</v>
      </c>
      <c r="J127" s="1" t="s">
        <v>183</v>
      </c>
    </row>
    <row r="128" spans="1:10" ht="36">
      <c r="A128" s="1">
        <v>2023</v>
      </c>
      <c r="B128" s="1" t="s">
        <v>9</v>
      </c>
      <c r="C128" s="1" t="s">
        <v>179</v>
      </c>
      <c r="D128" s="1" t="s">
        <v>243</v>
      </c>
      <c r="E128" s="1" t="s">
        <v>264</v>
      </c>
      <c r="F128" s="1" t="s">
        <v>265</v>
      </c>
      <c r="G128" s="5">
        <v>102</v>
      </c>
      <c r="H128" s="5">
        <f>0+1+0</f>
        <v>1</v>
      </c>
      <c r="I128" s="5">
        <f t="shared" si="64"/>
        <v>0</v>
      </c>
      <c r="J128" s="1" t="s">
        <v>183</v>
      </c>
    </row>
    <row r="129" spans="1:10" ht="36">
      <c r="A129" s="1">
        <v>2023</v>
      </c>
      <c r="B129" s="1" t="s">
        <v>9</v>
      </c>
      <c r="C129" s="1" t="s">
        <v>179</v>
      </c>
      <c r="D129" s="1" t="s">
        <v>243</v>
      </c>
      <c r="E129" s="1" t="s">
        <v>266</v>
      </c>
      <c r="F129" s="1" t="s">
        <v>267</v>
      </c>
      <c r="G129" s="5">
        <v>102</v>
      </c>
      <c r="H129" s="5">
        <f>0+0+1</f>
        <v>1</v>
      </c>
      <c r="I129" s="5">
        <f t="shared" si="64"/>
        <v>0</v>
      </c>
      <c r="J129" s="1" t="s">
        <v>183</v>
      </c>
    </row>
    <row r="130" spans="1:10" ht="36">
      <c r="A130" s="1">
        <v>2023</v>
      </c>
      <c r="B130" s="1" t="s">
        <v>9</v>
      </c>
      <c r="C130" s="1" t="s">
        <v>179</v>
      </c>
      <c r="D130" s="1" t="s">
        <v>243</v>
      </c>
      <c r="E130" s="1" t="s">
        <v>268</v>
      </c>
      <c r="F130" s="1" t="s">
        <v>269</v>
      </c>
      <c r="G130" s="5">
        <v>102</v>
      </c>
      <c r="H130" s="5">
        <f t="shared" ref="H130:H131" si="65">1+0+1</f>
        <v>2</v>
      </c>
      <c r="I130" s="5">
        <f t="shared" si="64"/>
        <v>0</v>
      </c>
      <c r="J130" s="1" t="s">
        <v>183</v>
      </c>
    </row>
    <row r="131" spans="1:10" ht="36">
      <c r="A131" s="1">
        <v>2023</v>
      </c>
      <c r="B131" s="1" t="s">
        <v>9</v>
      </c>
      <c r="C131" s="1" t="s">
        <v>179</v>
      </c>
      <c r="D131" s="1" t="s">
        <v>243</v>
      </c>
      <c r="E131" s="1" t="s">
        <v>270</v>
      </c>
      <c r="F131" s="1" t="s">
        <v>271</v>
      </c>
      <c r="G131" s="5">
        <v>102</v>
      </c>
      <c r="H131" s="5">
        <f t="shared" si="65"/>
        <v>2</v>
      </c>
      <c r="I131" s="5">
        <f t="shared" si="64"/>
        <v>0</v>
      </c>
      <c r="J131" s="1" t="s">
        <v>183</v>
      </c>
    </row>
    <row r="132" spans="1:10" ht="36">
      <c r="A132" s="1">
        <v>2023</v>
      </c>
      <c r="B132" s="1" t="s">
        <v>9</v>
      </c>
      <c r="C132" s="1" t="s">
        <v>179</v>
      </c>
      <c r="D132" s="1" t="s">
        <v>272</v>
      </c>
      <c r="E132" s="1" t="s">
        <v>273</v>
      </c>
      <c r="F132" s="1" t="s">
        <v>271</v>
      </c>
      <c r="G132" s="2">
        <v>0</v>
      </c>
      <c r="H132" s="3">
        <f t="shared" ref="H132:I132" si="66">0%+0%+100%</f>
        <v>1</v>
      </c>
      <c r="I132" s="3">
        <f t="shared" si="66"/>
        <v>1</v>
      </c>
      <c r="J132" s="1" t="s">
        <v>183</v>
      </c>
    </row>
    <row r="133" spans="1:10" ht="36">
      <c r="A133" s="1">
        <v>2023</v>
      </c>
      <c r="B133" s="1" t="s">
        <v>9</v>
      </c>
      <c r="C133" s="1" t="s">
        <v>179</v>
      </c>
      <c r="D133" s="1" t="s">
        <v>272</v>
      </c>
      <c r="E133" s="1" t="s">
        <v>274</v>
      </c>
      <c r="F133" s="1" t="s">
        <v>275</v>
      </c>
      <c r="G133" s="2">
        <v>0</v>
      </c>
      <c r="H133" s="3">
        <f t="shared" ref="H133:I133" si="67">0%+0%+100%</f>
        <v>1</v>
      </c>
      <c r="I133" s="3">
        <f t="shared" si="67"/>
        <v>1</v>
      </c>
      <c r="J133" s="1" t="s">
        <v>183</v>
      </c>
    </row>
    <row r="134" spans="1:10" ht="36">
      <c r="A134" s="1">
        <v>2023</v>
      </c>
      <c r="B134" s="1" t="s">
        <v>9</v>
      </c>
      <c r="C134" s="1" t="s">
        <v>179</v>
      </c>
      <c r="D134" s="1" t="s">
        <v>272</v>
      </c>
      <c r="E134" s="1" t="s">
        <v>276</v>
      </c>
      <c r="F134" s="1" t="s">
        <v>277</v>
      </c>
      <c r="G134" s="2">
        <v>460</v>
      </c>
      <c r="H134" s="4">
        <f>30%+30%+30%</f>
        <v>0.89999999999999991</v>
      </c>
      <c r="I134" s="4">
        <f>13.64%+8.48%+3.94%</f>
        <v>0.2606</v>
      </c>
      <c r="J134" s="1" t="s">
        <v>183</v>
      </c>
    </row>
    <row r="135" spans="1:10" ht="36">
      <c r="A135" s="1">
        <v>2023</v>
      </c>
      <c r="B135" s="1" t="s">
        <v>9</v>
      </c>
      <c r="C135" s="1" t="s">
        <v>179</v>
      </c>
      <c r="D135" s="1" t="s">
        <v>272</v>
      </c>
      <c r="E135" s="1" t="s">
        <v>278</v>
      </c>
      <c r="F135" s="1" t="s">
        <v>279</v>
      </c>
      <c r="G135" s="2">
        <v>3096</v>
      </c>
      <c r="H135" s="4">
        <f>9.38%+8.31%+3.13%</f>
        <v>0.2082</v>
      </c>
      <c r="I135" s="4">
        <f>5.66%+1.91%+0.31%</f>
        <v>7.8800000000000009E-2</v>
      </c>
      <c r="J135" s="1" t="s">
        <v>183</v>
      </c>
    </row>
    <row r="136" spans="1:10" ht="36">
      <c r="A136" s="1">
        <v>2023</v>
      </c>
      <c r="B136" s="1" t="s">
        <v>9</v>
      </c>
      <c r="C136" s="1" t="s">
        <v>179</v>
      </c>
      <c r="D136" s="1" t="s">
        <v>272</v>
      </c>
      <c r="E136" s="1" t="s">
        <v>280</v>
      </c>
      <c r="F136" s="1" t="s">
        <v>281</v>
      </c>
      <c r="G136" s="2">
        <v>30</v>
      </c>
      <c r="H136" s="4">
        <f>7.41%+7.41%+4%</f>
        <v>0.18820000000000001</v>
      </c>
      <c r="I136" s="4">
        <f>14.81%+3.7%+3.7%</f>
        <v>0.22210000000000002</v>
      </c>
      <c r="J136" s="1" t="s">
        <v>183</v>
      </c>
    </row>
    <row r="137" spans="1:10" ht="36">
      <c r="A137" s="1">
        <v>2023</v>
      </c>
      <c r="B137" s="1" t="s">
        <v>9</v>
      </c>
      <c r="C137" s="1" t="s">
        <v>179</v>
      </c>
      <c r="D137" s="1" t="s">
        <v>272</v>
      </c>
      <c r="E137" s="1" t="s">
        <v>282</v>
      </c>
      <c r="F137" s="1" t="s">
        <v>283</v>
      </c>
      <c r="G137" s="11">
        <v>77</v>
      </c>
      <c r="H137" s="11">
        <f t="shared" ref="H137:H139" si="68">100+50+47</f>
        <v>197</v>
      </c>
      <c r="I137" s="11">
        <f t="shared" ref="I137:I139" si="69">45+28+13</f>
        <v>86</v>
      </c>
      <c r="J137" s="1" t="s">
        <v>183</v>
      </c>
    </row>
    <row r="138" spans="1:10" ht="36">
      <c r="A138" s="1">
        <v>2023</v>
      </c>
      <c r="B138" s="1" t="s">
        <v>9</v>
      </c>
      <c r="C138" s="1" t="s">
        <v>179</v>
      </c>
      <c r="D138" s="1" t="s">
        <v>272</v>
      </c>
      <c r="E138" s="1" t="s">
        <v>284</v>
      </c>
      <c r="F138" s="1" t="s">
        <v>285</v>
      </c>
      <c r="G138" s="11">
        <v>77</v>
      </c>
      <c r="H138" s="11">
        <f t="shared" si="68"/>
        <v>197</v>
      </c>
      <c r="I138" s="11">
        <f t="shared" si="69"/>
        <v>86</v>
      </c>
      <c r="J138" s="1" t="s">
        <v>183</v>
      </c>
    </row>
    <row r="139" spans="1:10" ht="36">
      <c r="A139" s="1">
        <v>2023</v>
      </c>
      <c r="B139" s="1" t="s">
        <v>9</v>
      </c>
      <c r="C139" s="1" t="s">
        <v>179</v>
      </c>
      <c r="D139" s="1" t="s">
        <v>272</v>
      </c>
      <c r="E139" s="1" t="s">
        <v>286</v>
      </c>
      <c r="F139" s="1" t="s">
        <v>287</v>
      </c>
      <c r="G139" s="11">
        <v>77</v>
      </c>
      <c r="H139" s="11">
        <f t="shared" si="68"/>
        <v>197</v>
      </c>
      <c r="I139" s="11">
        <f t="shared" si="69"/>
        <v>86</v>
      </c>
      <c r="J139" s="1" t="s">
        <v>183</v>
      </c>
    </row>
    <row r="140" spans="1:10" ht="36">
      <c r="A140" s="1">
        <v>2023</v>
      </c>
      <c r="B140" s="1" t="s">
        <v>9</v>
      </c>
      <c r="C140" s="1" t="s">
        <v>179</v>
      </c>
      <c r="D140" s="1" t="s">
        <v>272</v>
      </c>
      <c r="E140" s="1" t="s">
        <v>288</v>
      </c>
      <c r="F140" s="1" t="s">
        <v>289</v>
      </c>
      <c r="G140" s="11">
        <v>77</v>
      </c>
      <c r="H140" s="11">
        <f t="shared" ref="H140:H141" si="70">20+20+17</f>
        <v>57</v>
      </c>
      <c r="I140" s="11">
        <f t="shared" ref="I140:I141" si="71">1+1+1</f>
        <v>3</v>
      </c>
      <c r="J140" s="1" t="s">
        <v>183</v>
      </c>
    </row>
    <row r="141" spans="1:10" ht="36">
      <c r="A141" s="1">
        <v>2023</v>
      </c>
      <c r="B141" s="1" t="s">
        <v>9</v>
      </c>
      <c r="C141" s="1" t="s">
        <v>179</v>
      </c>
      <c r="D141" s="1" t="s">
        <v>272</v>
      </c>
      <c r="E141" s="1" t="s">
        <v>290</v>
      </c>
      <c r="F141" s="1" t="s">
        <v>291</v>
      </c>
      <c r="G141" s="11">
        <v>76</v>
      </c>
      <c r="H141" s="11">
        <f t="shared" si="70"/>
        <v>57</v>
      </c>
      <c r="I141" s="11">
        <f t="shared" si="71"/>
        <v>3</v>
      </c>
      <c r="J141" s="1" t="s">
        <v>183</v>
      </c>
    </row>
    <row r="142" spans="1:10" ht="36">
      <c r="A142" s="1">
        <v>2023</v>
      </c>
      <c r="B142" s="1" t="s">
        <v>9</v>
      </c>
      <c r="C142" s="1" t="s">
        <v>179</v>
      </c>
      <c r="D142" s="1" t="s">
        <v>272</v>
      </c>
      <c r="E142" s="1" t="s">
        <v>290</v>
      </c>
      <c r="F142" s="1" t="s">
        <v>291</v>
      </c>
      <c r="G142" s="11">
        <v>76</v>
      </c>
      <c r="H142" s="11">
        <f>200+200+153</f>
        <v>553</v>
      </c>
      <c r="I142" s="11">
        <f>307+137+55</f>
        <v>499</v>
      </c>
      <c r="J142" s="1" t="s">
        <v>183</v>
      </c>
    </row>
    <row r="143" spans="1:10" ht="36">
      <c r="A143" s="1">
        <v>2023</v>
      </c>
      <c r="B143" s="1" t="s">
        <v>9</v>
      </c>
      <c r="C143" s="1" t="s">
        <v>179</v>
      </c>
      <c r="D143" s="1" t="s">
        <v>272</v>
      </c>
      <c r="E143" s="1" t="s">
        <v>228</v>
      </c>
      <c r="F143" s="1" t="s">
        <v>229</v>
      </c>
      <c r="G143" s="11">
        <v>774</v>
      </c>
      <c r="H143" s="11">
        <f t="shared" ref="H143:H146" si="72">300+266+100</f>
        <v>666</v>
      </c>
      <c r="I143" s="11">
        <f t="shared" ref="I143:I146" si="73">181+61+10</f>
        <v>252</v>
      </c>
      <c r="J143" s="1" t="s">
        <v>183</v>
      </c>
    </row>
    <row r="144" spans="1:10" ht="36">
      <c r="A144" s="1">
        <v>2023</v>
      </c>
      <c r="B144" s="1" t="s">
        <v>9</v>
      </c>
      <c r="C144" s="1" t="s">
        <v>179</v>
      </c>
      <c r="D144" s="1" t="s">
        <v>272</v>
      </c>
      <c r="E144" s="1" t="s">
        <v>292</v>
      </c>
      <c r="F144" s="1" t="s">
        <v>293</v>
      </c>
      <c r="G144" s="11">
        <v>774</v>
      </c>
      <c r="H144" s="11">
        <f t="shared" si="72"/>
        <v>666</v>
      </c>
      <c r="I144" s="11">
        <f t="shared" si="73"/>
        <v>252</v>
      </c>
      <c r="J144" s="1" t="s">
        <v>183</v>
      </c>
    </row>
    <row r="145" spans="1:10" ht="36">
      <c r="A145" s="1">
        <v>2023</v>
      </c>
      <c r="B145" s="1" t="s">
        <v>9</v>
      </c>
      <c r="C145" s="1" t="s">
        <v>179</v>
      </c>
      <c r="D145" s="1" t="s">
        <v>272</v>
      </c>
      <c r="E145" s="1" t="s">
        <v>294</v>
      </c>
      <c r="F145" s="1" t="s">
        <v>295</v>
      </c>
      <c r="G145" s="11">
        <v>774</v>
      </c>
      <c r="H145" s="11">
        <f t="shared" si="72"/>
        <v>666</v>
      </c>
      <c r="I145" s="11">
        <f t="shared" si="73"/>
        <v>252</v>
      </c>
      <c r="J145" s="1" t="s">
        <v>183</v>
      </c>
    </row>
    <row r="146" spans="1:10" ht="36">
      <c r="A146" s="1">
        <v>2023</v>
      </c>
      <c r="B146" s="1" t="s">
        <v>9</v>
      </c>
      <c r="C146" s="1" t="s">
        <v>179</v>
      </c>
      <c r="D146" s="1" t="s">
        <v>272</v>
      </c>
      <c r="E146" s="1" t="s">
        <v>296</v>
      </c>
      <c r="F146" s="1" t="s">
        <v>297</v>
      </c>
      <c r="G146" s="11">
        <v>774</v>
      </c>
      <c r="H146" s="11">
        <f t="shared" si="72"/>
        <v>666</v>
      </c>
      <c r="I146" s="11">
        <f t="shared" si="73"/>
        <v>252</v>
      </c>
      <c r="J146" s="1" t="s">
        <v>183</v>
      </c>
    </row>
    <row r="147" spans="1:10" ht="36">
      <c r="A147" s="1">
        <v>2023</v>
      </c>
      <c r="B147" s="1" t="s">
        <v>9</v>
      </c>
      <c r="C147" s="1" t="s">
        <v>179</v>
      </c>
      <c r="D147" s="1" t="s">
        <v>272</v>
      </c>
      <c r="E147" s="1" t="s">
        <v>298</v>
      </c>
      <c r="F147" s="1" t="s">
        <v>299</v>
      </c>
      <c r="G147" s="11">
        <v>6</v>
      </c>
      <c r="H147" s="11">
        <f>2+2+1</f>
        <v>5</v>
      </c>
      <c r="I147" s="11">
        <f>4+1+1</f>
        <v>6</v>
      </c>
      <c r="J147" s="1" t="s">
        <v>183</v>
      </c>
    </row>
    <row r="148" spans="1:10" ht="36">
      <c r="A148" s="1">
        <v>2023</v>
      </c>
      <c r="B148" s="1" t="s">
        <v>9</v>
      </c>
      <c r="C148" s="1" t="s">
        <v>179</v>
      </c>
      <c r="D148" s="1" t="s">
        <v>272</v>
      </c>
      <c r="E148" s="1" t="s">
        <v>300</v>
      </c>
      <c r="F148" s="1" t="s">
        <v>301</v>
      </c>
      <c r="G148" s="11">
        <v>6</v>
      </c>
      <c r="H148" s="11">
        <f t="shared" ref="H148:I148" si="74">0+0+0</f>
        <v>0</v>
      </c>
      <c r="I148" s="11">
        <f t="shared" si="74"/>
        <v>0</v>
      </c>
      <c r="J148" s="1" t="s">
        <v>183</v>
      </c>
    </row>
    <row r="149" spans="1:10" ht="36">
      <c r="A149" s="1">
        <v>2023</v>
      </c>
      <c r="B149" s="1" t="s">
        <v>9</v>
      </c>
      <c r="C149" s="1" t="s">
        <v>179</v>
      </c>
      <c r="D149" s="1" t="s">
        <v>272</v>
      </c>
      <c r="E149" s="1" t="s">
        <v>302</v>
      </c>
      <c r="F149" s="1" t="s">
        <v>303</v>
      </c>
      <c r="G149" s="11">
        <v>6</v>
      </c>
      <c r="H149" s="11">
        <f t="shared" ref="H149:I149" si="75">0+0+0</f>
        <v>0</v>
      </c>
      <c r="I149" s="11">
        <f t="shared" si="75"/>
        <v>0</v>
      </c>
      <c r="J149" s="1" t="s">
        <v>183</v>
      </c>
    </row>
    <row r="150" spans="1:10" ht="36">
      <c r="A150" s="1">
        <v>2023</v>
      </c>
      <c r="B150" s="1" t="s">
        <v>9</v>
      </c>
      <c r="C150" s="1" t="s">
        <v>179</v>
      </c>
      <c r="D150" s="1" t="s">
        <v>272</v>
      </c>
      <c r="E150" s="1" t="s">
        <v>304</v>
      </c>
      <c r="F150" s="1" t="s">
        <v>305</v>
      </c>
      <c r="G150" s="11">
        <v>6</v>
      </c>
      <c r="H150" s="11">
        <f>2+2+1</f>
        <v>5</v>
      </c>
      <c r="I150" s="11">
        <f>4+1+1</f>
        <v>6</v>
      </c>
      <c r="J150" s="1" t="s">
        <v>183</v>
      </c>
    </row>
    <row r="151" spans="1:10" ht="36">
      <c r="A151" s="1">
        <v>2023</v>
      </c>
      <c r="B151" s="1" t="s">
        <v>9</v>
      </c>
      <c r="C151" s="1" t="s">
        <v>179</v>
      </c>
      <c r="D151" s="1" t="s">
        <v>272</v>
      </c>
      <c r="E151" s="1" t="s">
        <v>306</v>
      </c>
      <c r="F151" s="1" t="s">
        <v>307</v>
      </c>
      <c r="G151" s="11">
        <v>6</v>
      </c>
      <c r="H151" s="11">
        <f>100+100+179</f>
        <v>379</v>
      </c>
      <c r="I151" s="11">
        <f>15+12+13</f>
        <v>40</v>
      </c>
      <c r="J151" s="1" t="s">
        <v>183</v>
      </c>
    </row>
    <row r="152" spans="1:10" ht="60">
      <c r="A152" s="1">
        <v>2023</v>
      </c>
      <c r="B152" s="1" t="s">
        <v>9</v>
      </c>
      <c r="C152" s="1" t="s">
        <v>179</v>
      </c>
      <c r="D152" s="1" t="s">
        <v>308</v>
      </c>
      <c r="E152" s="1" t="s">
        <v>309</v>
      </c>
      <c r="F152" s="1" t="s">
        <v>310</v>
      </c>
      <c r="G152" s="2">
        <v>0</v>
      </c>
      <c r="H152" s="3">
        <f t="shared" ref="H152:H153" si="76">0%+0%+100%</f>
        <v>1</v>
      </c>
      <c r="I152" s="3">
        <f t="shared" ref="I152:I153" si="77">0+0+100%</f>
        <v>1</v>
      </c>
      <c r="J152" s="1" t="s">
        <v>183</v>
      </c>
    </row>
    <row r="153" spans="1:10" ht="36">
      <c r="A153" s="1">
        <v>2023</v>
      </c>
      <c r="B153" s="1" t="s">
        <v>9</v>
      </c>
      <c r="C153" s="1" t="s">
        <v>179</v>
      </c>
      <c r="D153" s="1" t="s">
        <v>308</v>
      </c>
      <c r="E153" s="1" t="s">
        <v>311</v>
      </c>
      <c r="F153" s="1" t="s">
        <v>312</v>
      </c>
      <c r="G153" s="2">
        <v>0</v>
      </c>
      <c r="H153" s="3">
        <f t="shared" si="76"/>
        <v>1</v>
      </c>
      <c r="I153" s="3">
        <f t="shared" si="77"/>
        <v>1</v>
      </c>
      <c r="J153" s="1" t="s">
        <v>183</v>
      </c>
    </row>
    <row r="154" spans="1:10" ht="36">
      <c r="A154" s="1">
        <v>2023</v>
      </c>
      <c r="B154" s="1" t="s">
        <v>9</v>
      </c>
      <c r="C154" s="1" t="s">
        <v>179</v>
      </c>
      <c r="D154" s="1" t="s">
        <v>308</v>
      </c>
      <c r="E154" s="1" t="s">
        <v>313</v>
      </c>
      <c r="F154" s="1" t="s">
        <v>314</v>
      </c>
      <c r="G154" s="2">
        <v>89</v>
      </c>
      <c r="H154" s="12">
        <f>200%+100%+67%</f>
        <v>3.67</v>
      </c>
      <c r="I154" s="4">
        <f>0%+1.96%+1.96%</f>
        <v>3.9199999999999999E-2</v>
      </c>
      <c r="J154" s="1" t="s">
        <v>183</v>
      </c>
    </row>
    <row r="155" spans="1:10" ht="36">
      <c r="A155" s="1">
        <v>2023</v>
      </c>
      <c r="B155" s="1" t="s">
        <v>9</v>
      </c>
      <c r="C155" s="1" t="s">
        <v>179</v>
      </c>
      <c r="D155" s="1" t="s">
        <v>308</v>
      </c>
      <c r="E155" s="1" t="s">
        <v>315</v>
      </c>
      <c r="F155" s="1" t="s">
        <v>316</v>
      </c>
      <c r="G155" s="2">
        <v>0</v>
      </c>
      <c r="H155" s="3">
        <f>200%+150%+90%</f>
        <v>4.4000000000000004</v>
      </c>
      <c r="I155" s="4">
        <f>40%+20%+20%</f>
        <v>0.8</v>
      </c>
      <c r="J155" s="1" t="s">
        <v>183</v>
      </c>
    </row>
    <row r="156" spans="1:10" ht="36">
      <c r="A156" s="1">
        <v>2023</v>
      </c>
      <c r="B156" s="1" t="s">
        <v>9</v>
      </c>
      <c r="C156" s="1" t="s">
        <v>179</v>
      </c>
      <c r="D156" s="1" t="s">
        <v>308</v>
      </c>
      <c r="E156" s="1" t="s">
        <v>317</v>
      </c>
      <c r="F156" s="1" t="s">
        <v>318</v>
      </c>
      <c r="G156" s="2">
        <v>108</v>
      </c>
      <c r="H156" s="3">
        <f>0%+16.67%+0%</f>
        <v>0.16670000000000001</v>
      </c>
      <c r="I156" s="4">
        <f>5%+10%+2.5%</f>
        <v>0.17500000000000002</v>
      </c>
      <c r="J156" s="1" t="s">
        <v>183</v>
      </c>
    </row>
    <row r="157" spans="1:10" ht="36">
      <c r="A157" s="1">
        <v>2023</v>
      </c>
      <c r="B157" s="1" t="s">
        <v>9</v>
      </c>
      <c r="C157" s="1" t="s">
        <v>179</v>
      </c>
      <c r="D157" s="1" t="s">
        <v>308</v>
      </c>
      <c r="E157" s="1" t="s">
        <v>319</v>
      </c>
      <c r="F157" s="1" t="s">
        <v>320</v>
      </c>
      <c r="G157" s="2">
        <v>3</v>
      </c>
      <c r="H157" s="4">
        <f>9.09%+9.09%+0%</f>
        <v>0.18179999999999999</v>
      </c>
      <c r="I157" s="4">
        <f>7.07%+1.01%+4.04%</f>
        <v>0.1212</v>
      </c>
      <c r="J157" s="1" t="s">
        <v>183</v>
      </c>
    </row>
    <row r="158" spans="1:10" ht="36">
      <c r="A158" s="1">
        <v>2023</v>
      </c>
      <c r="B158" s="1" t="s">
        <v>9</v>
      </c>
      <c r="C158" s="1" t="s">
        <v>179</v>
      </c>
      <c r="D158" s="1" t="s">
        <v>308</v>
      </c>
      <c r="E158" s="1" t="s">
        <v>321</v>
      </c>
      <c r="F158" s="1" t="s">
        <v>322</v>
      </c>
      <c r="G158" s="2">
        <v>5</v>
      </c>
      <c r="H158" s="12">
        <f>8.82%+11.76%+5.88%</f>
        <v>0.2646</v>
      </c>
      <c r="I158" s="4">
        <f>2.94%+0%+8.82%</f>
        <v>0.1176</v>
      </c>
      <c r="J158" s="1" t="s">
        <v>183</v>
      </c>
    </row>
    <row r="159" spans="1:10" ht="36">
      <c r="A159" s="1">
        <v>2023</v>
      </c>
      <c r="B159" s="1" t="s">
        <v>9</v>
      </c>
      <c r="C159" s="1" t="s">
        <v>179</v>
      </c>
      <c r="D159" s="1" t="s">
        <v>308</v>
      </c>
      <c r="E159" s="1" t="s">
        <v>323</v>
      </c>
      <c r="F159" s="1" t="s">
        <v>324</v>
      </c>
      <c r="G159" s="5">
        <v>18</v>
      </c>
      <c r="H159" s="5">
        <f>40+30+10</f>
        <v>80</v>
      </c>
      <c r="I159" s="5">
        <f>0+1+1</f>
        <v>2</v>
      </c>
      <c r="J159" s="1" t="s">
        <v>183</v>
      </c>
    </row>
    <row r="160" spans="1:10" ht="36">
      <c r="A160" s="1">
        <v>2023</v>
      </c>
      <c r="B160" s="1" t="s">
        <v>9</v>
      </c>
      <c r="C160" s="1" t="s">
        <v>179</v>
      </c>
      <c r="D160" s="1" t="s">
        <v>308</v>
      </c>
      <c r="E160" s="1" t="s">
        <v>325</v>
      </c>
      <c r="F160" s="1" t="s">
        <v>326</v>
      </c>
      <c r="G160" s="5">
        <v>18</v>
      </c>
      <c r="H160" s="5">
        <f>40+40+29</f>
        <v>109</v>
      </c>
      <c r="I160" s="5">
        <f>9+3+2</f>
        <v>14</v>
      </c>
      <c r="J160" s="1" t="s">
        <v>183</v>
      </c>
    </row>
    <row r="161" spans="1:10" ht="36">
      <c r="A161" s="1">
        <v>2023</v>
      </c>
      <c r="B161" s="1" t="s">
        <v>9</v>
      </c>
      <c r="C161" s="1" t="s">
        <v>179</v>
      </c>
      <c r="D161" s="1" t="s">
        <v>308</v>
      </c>
      <c r="E161" s="1" t="s">
        <v>327</v>
      </c>
      <c r="F161" s="1" t="s">
        <v>328</v>
      </c>
      <c r="G161" s="5">
        <v>18</v>
      </c>
      <c r="H161" s="5">
        <f>50+40+38</f>
        <v>128</v>
      </c>
      <c r="I161" s="5">
        <f>8+9+0</f>
        <v>17</v>
      </c>
      <c r="J161" s="1" t="s">
        <v>183</v>
      </c>
    </row>
    <row r="162" spans="1:10" ht="36">
      <c r="A162" s="1">
        <v>2023</v>
      </c>
      <c r="B162" s="1" t="s">
        <v>9</v>
      </c>
      <c r="C162" s="1" t="s">
        <v>179</v>
      </c>
      <c r="D162" s="1" t="s">
        <v>308</v>
      </c>
      <c r="E162" s="1" t="s">
        <v>329</v>
      </c>
      <c r="F162" s="1" t="s">
        <v>330</v>
      </c>
      <c r="G162" s="5">
        <v>18</v>
      </c>
      <c r="H162" s="5">
        <f>30+24+20</f>
        <v>74</v>
      </c>
      <c r="I162" s="5">
        <f t="shared" ref="I162:I168" si="78">0+1+1</f>
        <v>2</v>
      </c>
      <c r="J162" s="1" t="s">
        <v>183</v>
      </c>
    </row>
    <row r="163" spans="1:10" ht="36">
      <c r="A163" s="1">
        <v>2023</v>
      </c>
      <c r="B163" s="1" t="s">
        <v>9</v>
      </c>
      <c r="C163" s="1" t="s">
        <v>179</v>
      </c>
      <c r="D163" s="1" t="s">
        <v>308</v>
      </c>
      <c r="E163" s="1" t="s">
        <v>331</v>
      </c>
      <c r="F163" s="1" t="s">
        <v>332</v>
      </c>
      <c r="G163" s="5">
        <v>18</v>
      </c>
      <c r="H163" s="5">
        <f>40+30+14</f>
        <v>84</v>
      </c>
      <c r="I163" s="5">
        <f t="shared" si="78"/>
        <v>2</v>
      </c>
      <c r="J163" s="1" t="s">
        <v>183</v>
      </c>
    </row>
    <row r="164" spans="1:10" ht="36">
      <c r="A164" s="1">
        <v>2023</v>
      </c>
      <c r="B164" s="1" t="s">
        <v>9</v>
      </c>
      <c r="C164" s="1" t="s">
        <v>179</v>
      </c>
      <c r="D164" s="1" t="s">
        <v>308</v>
      </c>
      <c r="E164" s="1" t="s">
        <v>333</v>
      </c>
      <c r="F164" s="1" t="s">
        <v>334</v>
      </c>
      <c r="G164" s="5">
        <v>4</v>
      </c>
      <c r="H164" s="5">
        <f t="shared" ref="H164:H170" si="79">0+20+0</f>
        <v>20</v>
      </c>
      <c r="I164" s="5">
        <f t="shared" si="78"/>
        <v>2</v>
      </c>
      <c r="J164" s="1" t="s">
        <v>183</v>
      </c>
    </row>
    <row r="165" spans="1:10" ht="36">
      <c r="A165" s="1">
        <v>2023</v>
      </c>
      <c r="B165" s="1" t="s">
        <v>9</v>
      </c>
      <c r="C165" s="1" t="s">
        <v>179</v>
      </c>
      <c r="D165" s="1" t="s">
        <v>308</v>
      </c>
      <c r="E165" s="1" t="s">
        <v>335</v>
      </c>
      <c r="F165" s="1" t="s">
        <v>336</v>
      </c>
      <c r="G165" s="5">
        <v>4</v>
      </c>
      <c r="H165" s="5">
        <f t="shared" si="79"/>
        <v>20</v>
      </c>
      <c r="I165" s="5">
        <f t="shared" si="78"/>
        <v>2</v>
      </c>
      <c r="J165" s="1" t="s">
        <v>183</v>
      </c>
    </row>
    <row r="166" spans="1:10" ht="36">
      <c r="A166" s="1">
        <v>2023</v>
      </c>
      <c r="B166" s="1" t="s">
        <v>9</v>
      </c>
      <c r="C166" s="1" t="s">
        <v>179</v>
      </c>
      <c r="D166" s="1" t="s">
        <v>308</v>
      </c>
      <c r="E166" s="1" t="s">
        <v>337</v>
      </c>
      <c r="F166" s="1" t="s">
        <v>338</v>
      </c>
      <c r="G166" s="5">
        <v>4</v>
      </c>
      <c r="H166" s="5">
        <f t="shared" si="79"/>
        <v>20</v>
      </c>
      <c r="I166" s="5">
        <f t="shared" si="78"/>
        <v>2</v>
      </c>
      <c r="J166" s="1" t="s">
        <v>183</v>
      </c>
    </row>
    <row r="167" spans="1:10" ht="36">
      <c r="A167" s="1">
        <v>2023</v>
      </c>
      <c r="B167" s="1" t="s">
        <v>9</v>
      </c>
      <c r="C167" s="1" t="s">
        <v>179</v>
      </c>
      <c r="D167" s="1" t="s">
        <v>308</v>
      </c>
      <c r="E167" s="1" t="s">
        <v>339</v>
      </c>
      <c r="F167" s="1" t="s">
        <v>340</v>
      </c>
      <c r="G167" s="5">
        <v>4</v>
      </c>
      <c r="H167" s="5">
        <f t="shared" si="79"/>
        <v>20</v>
      </c>
      <c r="I167" s="5">
        <f t="shared" si="78"/>
        <v>2</v>
      </c>
      <c r="J167" s="1" t="s">
        <v>183</v>
      </c>
    </row>
    <row r="168" spans="1:10" ht="36">
      <c r="A168" s="1">
        <v>2023</v>
      </c>
      <c r="B168" s="1" t="s">
        <v>9</v>
      </c>
      <c r="C168" s="1" t="s">
        <v>179</v>
      </c>
      <c r="D168" s="1" t="s">
        <v>308</v>
      </c>
      <c r="E168" s="1" t="s">
        <v>341</v>
      </c>
      <c r="F168" s="1" t="s">
        <v>342</v>
      </c>
      <c r="G168" s="5">
        <v>4</v>
      </c>
      <c r="H168" s="5">
        <f t="shared" si="79"/>
        <v>20</v>
      </c>
      <c r="I168" s="5">
        <f t="shared" si="78"/>
        <v>2</v>
      </c>
      <c r="J168" s="1" t="s">
        <v>183</v>
      </c>
    </row>
    <row r="169" spans="1:10" ht="36">
      <c r="A169" s="1">
        <v>2023</v>
      </c>
      <c r="B169" s="1" t="s">
        <v>9</v>
      </c>
      <c r="C169" s="1" t="s">
        <v>179</v>
      </c>
      <c r="D169" s="1" t="s">
        <v>308</v>
      </c>
      <c r="E169" s="1" t="s">
        <v>343</v>
      </c>
      <c r="F169" s="1" t="s">
        <v>344</v>
      </c>
      <c r="G169" s="5">
        <v>54</v>
      </c>
      <c r="H169" s="5">
        <f t="shared" si="79"/>
        <v>20</v>
      </c>
      <c r="I169" s="5">
        <f t="shared" ref="I169:I170" si="80">6+12+3</f>
        <v>21</v>
      </c>
      <c r="J169" s="1" t="s">
        <v>183</v>
      </c>
    </row>
    <row r="170" spans="1:10" ht="36">
      <c r="A170" s="1">
        <v>2023</v>
      </c>
      <c r="B170" s="1" t="s">
        <v>9</v>
      </c>
      <c r="C170" s="1" t="s">
        <v>179</v>
      </c>
      <c r="D170" s="1" t="s">
        <v>308</v>
      </c>
      <c r="E170" s="1" t="s">
        <v>343</v>
      </c>
      <c r="F170" s="1" t="s">
        <v>345</v>
      </c>
      <c r="G170" s="5">
        <v>54</v>
      </c>
      <c r="H170" s="5">
        <f t="shared" si="79"/>
        <v>20</v>
      </c>
      <c r="I170" s="5">
        <f t="shared" si="80"/>
        <v>21</v>
      </c>
      <c r="J170" s="1" t="s">
        <v>183</v>
      </c>
    </row>
    <row r="171" spans="1:10" ht="36">
      <c r="A171" s="1">
        <v>2023</v>
      </c>
      <c r="B171" s="1" t="s">
        <v>9</v>
      </c>
      <c r="C171" s="1" t="s">
        <v>179</v>
      </c>
      <c r="D171" s="1" t="s">
        <v>308</v>
      </c>
      <c r="E171" s="1" t="s">
        <v>346</v>
      </c>
      <c r="F171" s="1" t="s">
        <v>347</v>
      </c>
      <c r="G171" s="5">
        <v>1</v>
      </c>
      <c r="H171" s="5">
        <f>9+9+0</f>
        <v>18</v>
      </c>
      <c r="I171" s="5">
        <f>7+1+4</f>
        <v>12</v>
      </c>
      <c r="J171" s="1" t="s">
        <v>183</v>
      </c>
    </row>
    <row r="172" spans="1:10" ht="36">
      <c r="A172" s="1">
        <v>2023</v>
      </c>
      <c r="B172" s="1" t="s">
        <v>9</v>
      </c>
      <c r="C172" s="1" t="s">
        <v>179</v>
      </c>
      <c r="D172" s="1" t="s">
        <v>308</v>
      </c>
      <c r="E172" s="1" t="s">
        <v>348</v>
      </c>
      <c r="F172" s="1" t="s">
        <v>349</v>
      </c>
      <c r="G172" s="5">
        <v>1</v>
      </c>
      <c r="H172" s="5">
        <f t="shared" ref="H172:H173" si="81">0+0+1</f>
        <v>1</v>
      </c>
      <c r="I172" s="5">
        <f>1+0+3</f>
        <v>4</v>
      </c>
      <c r="J172" s="1" t="s">
        <v>183</v>
      </c>
    </row>
    <row r="173" spans="1:10" ht="36">
      <c r="A173" s="1">
        <v>2023</v>
      </c>
      <c r="B173" s="1" t="s">
        <v>9</v>
      </c>
      <c r="C173" s="1" t="s">
        <v>179</v>
      </c>
      <c r="D173" s="1" t="s">
        <v>308</v>
      </c>
      <c r="E173" s="1" t="s">
        <v>350</v>
      </c>
      <c r="F173" s="1" t="s">
        <v>351</v>
      </c>
      <c r="G173" s="5">
        <v>1</v>
      </c>
      <c r="H173" s="5">
        <f t="shared" si="81"/>
        <v>1</v>
      </c>
      <c r="I173" s="5">
        <f t="shared" ref="I173:I178" si="82">0+0+0</f>
        <v>0</v>
      </c>
      <c r="J173" s="1" t="s">
        <v>183</v>
      </c>
    </row>
    <row r="174" spans="1:10" ht="36">
      <c r="A174" s="1">
        <v>2023</v>
      </c>
      <c r="B174" s="1" t="s">
        <v>9</v>
      </c>
      <c r="C174" s="1" t="s">
        <v>179</v>
      </c>
      <c r="D174" s="1" t="s">
        <v>308</v>
      </c>
      <c r="E174" s="1" t="s">
        <v>352</v>
      </c>
      <c r="F174" s="1" t="s">
        <v>353</v>
      </c>
      <c r="G174" s="5">
        <v>0</v>
      </c>
      <c r="H174" s="5">
        <f>9+9+0</f>
        <v>18</v>
      </c>
      <c r="I174" s="5">
        <f t="shared" si="82"/>
        <v>0</v>
      </c>
      <c r="J174" s="1" t="s">
        <v>183</v>
      </c>
    </row>
    <row r="175" spans="1:10" ht="36">
      <c r="A175" s="1">
        <v>2023</v>
      </c>
      <c r="B175" s="1" t="s">
        <v>9</v>
      </c>
      <c r="C175" s="1" t="s">
        <v>179</v>
      </c>
      <c r="D175" s="1" t="s">
        <v>308</v>
      </c>
      <c r="E175" s="1" t="s">
        <v>346</v>
      </c>
      <c r="F175" s="1" t="s">
        <v>347</v>
      </c>
      <c r="G175" s="5">
        <v>2</v>
      </c>
      <c r="H175" s="5">
        <f>3+4+2</f>
        <v>9</v>
      </c>
      <c r="I175" s="5">
        <f t="shared" si="82"/>
        <v>0</v>
      </c>
      <c r="J175" s="1" t="s">
        <v>183</v>
      </c>
    </row>
    <row r="176" spans="1:10" ht="36">
      <c r="A176" s="1">
        <v>2023</v>
      </c>
      <c r="B176" s="1" t="s">
        <v>9</v>
      </c>
      <c r="C176" s="1" t="s">
        <v>179</v>
      </c>
      <c r="D176" s="1" t="s">
        <v>308</v>
      </c>
      <c r="E176" s="1" t="s">
        <v>348</v>
      </c>
      <c r="F176" s="1" t="s">
        <v>349</v>
      </c>
      <c r="G176" s="5">
        <v>1</v>
      </c>
      <c r="H176" s="5">
        <f t="shared" ref="H176:H177" si="83">0+0+1</f>
        <v>1</v>
      </c>
      <c r="I176" s="5">
        <f t="shared" si="82"/>
        <v>0</v>
      </c>
      <c r="J176" s="1" t="s">
        <v>183</v>
      </c>
    </row>
    <row r="177" spans="1:10" ht="36">
      <c r="A177" s="1">
        <v>2023</v>
      </c>
      <c r="B177" s="1" t="s">
        <v>9</v>
      </c>
      <c r="C177" s="1" t="s">
        <v>179</v>
      </c>
      <c r="D177" s="1" t="s">
        <v>308</v>
      </c>
      <c r="E177" s="1" t="s">
        <v>350</v>
      </c>
      <c r="F177" s="1" t="s">
        <v>351</v>
      </c>
      <c r="G177" s="5">
        <v>1</v>
      </c>
      <c r="H177" s="5">
        <f t="shared" si="83"/>
        <v>1</v>
      </c>
      <c r="I177" s="5">
        <f t="shared" si="82"/>
        <v>0</v>
      </c>
      <c r="J177" s="1" t="s">
        <v>183</v>
      </c>
    </row>
    <row r="178" spans="1:10" ht="60">
      <c r="A178" s="1">
        <v>2023</v>
      </c>
      <c r="B178" s="1" t="s">
        <v>9</v>
      </c>
      <c r="C178" s="1" t="s">
        <v>179</v>
      </c>
      <c r="D178" s="1" t="s">
        <v>308</v>
      </c>
      <c r="E178" s="1" t="s">
        <v>354</v>
      </c>
      <c r="F178" s="1" t="s">
        <v>355</v>
      </c>
      <c r="G178" s="5">
        <v>1</v>
      </c>
      <c r="H178" s="5">
        <f>3+4+2</f>
        <v>9</v>
      </c>
      <c r="I178" s="5">
        <f t="shared" si="82"/>
        <v>0</v>
      </c>
      <c r="J178" s="1" t="s">
        <v>183</v>
      </c>
    </row>
    <row r="179" spans="1:10" ht="48">
      <c r="A179" s="1">
        <v>2023</v>
      </c>
      <c r="B179" s="1" t="s">
        <v>9</v>
      </c>
      <c r="C179" s="1" t="s">
        <v>10</v>
      </c>
      <c r="D179" s="1" t="s">
        <v>356</v>
      </c>
      <c r="E179" s="1" t="s">
        <v>357</v>
      </c>
      <c r="F179" s="1" t="s">
        <v>358</v>
      </c>
      <c r="G179" s="2">
        <v>0</v>
      </c>
      <c r="H179" s="3">
        <f t="shared" ref="H179:I179" si="84">0%+0%+100%</f>
        <v>1</v>
      </c>
      <c r="I179" s="3">
        <f t="shared" si="84"/>
        <v>1</v>
      </c>
      <c r="J179" s="1" t="s">
        <v>183</v>
      </c>
    </row>
    <row r="180" spans="1:10" ht="36">
      <c r="A180" s="1">
        <v>2023</v>
      </c>
      <c r="B180" s="1" t="s">
        <v>9</v>
      </c>
      <c r="C180" s="1" t="s">
        <v>10</v>
      </c>
      <c r="D180" s="1" t="s">
        <v>356</v>
      </c>
      <c r="E180" s="1" t="s">
        <v>359</v>
      </c>
      <c r="F180" s="1" t="s">
        <v>360</v>
      </c>
      <c r="G180" s="2">
        <v>0</v>
      </c>
      <c r="H180" s="3">
        <f t="shared" ref="H180:I180" si="85">0%+0%+100%</f>
        <v>1</v>
      </c>
      <c r="I180" s="3">
        <f t="shared" si="85"/>
        <v>1</v>
      </c>
      <c r="J180" s="1" t="s">
        <v>183</v>
      </c>
    </row>
    <row r="181" spans="1:10" ht="36">
      <c r="A181" s="1">
        <v>2023</v>
      </c>
      <c r="B181" s="1" t="s">
        <v>9</v>
      </c>
      <c r="C181" s="1" t="s">
        <v>10</v>
      </c>
      <c r="D181" s="1" t="s">
        <v>356</v>
      </c>
      <c r="E181" s="1" t="s">
        <v>361</v>
      </c>
      <c r="F181" s="1" t="s">
        <v>362</v>
      </c>
      <c r="G181" s="2">
        <v>5</v>
      </c>
      <c r="H181" s="13">
        <f>20%+20%+20%</f>
        <v>0.60000000000000009</v>
      </c>
      <c r="I181" s="3">
        <f>0+0+0</f>
        <v>0</v>
      </c>
      <c r="J181" s="1" t="s">
        <v>183</v>
      </c>
    </row>
    <row r="182" spans="1:10" ht="48">
      <c r="A182" s="1">
        <v>2023</v>
      </c>
      <c r="B182" s="1" t="s">
        <v>9</v>
      </c>
      <c r="C182" s="1" t="s">
        <v>10</v>
      </c>
      <c r="D182" s="1" t="s">
        <v>356</v>
      </c>
      <c r="E182" s="1" t="s">
        <v>363</v>
      </c>
      <c r="F182" s="1" t="s">
        <v>364</v>
      </c>
      <c r="G182" s="2">
        <v>7</v>
      </c>
      <c r="H182" s="4">
        <f>200%+200%+42.85%</f>
        <v>4.4284999999999997</v>
      </c>
      <c r="I182" s="4">
        <f>0%+0%+28.57%</f>
        <v>0.28570000000000001</v>
      </c>
      <c r="J182" s="1" t="s">
        <v>183</v>
      </c>
    </row>
    <row r="183" spans="1:10" ht="24">
      <c r="A183" s="1">
        <v>2023</v>
      </c>
      <c r="B183" s="1" t="s">
        <v>9</v>
      </c>
      <c r="C183" s="1" t="s">
        <v>10</v>
      </c>
      <c r="D183" s="1" t="s">
        <v>356</v>
      </c>
      <c r="E183" s="1" t="s">
        <v>365</v>
      </c>
      <c r="F183" s="1" t="s">
        <v>366</v>
      </c>
      <c r="G183" s="2">
        <v>2</v>
      </c>
      <c r="H183" s="3">
        <f>0%+50%+50%</f>
        <v>1</v>
      </c>
      <c r="I183" s="3">
        <f t="shared" ref="I183:I186" si="86">0+0+0</f>
        <v>0</v>
      </c>
      <c r="J183" s="1" t="s">
        <v>183</v>
      </c>
    </row>
    <row r="184" spans="1:10" ht="36">
      <c r="A184" s="1">
        <v>2023</v>
      </c>
      <c r="B184" s="1" t="s">
        <v>9</v>
      </c>
      <c r="C184" s="1" t="s">
        <v>10</v>
      </c>
      <c r="D184" s="1" t="s">
        <v>356</v>
      </c>
      <c r="E184" s="1" t="s">
        <v>367</v>
      </c>
      <c r="F184" s="1" t="s">
        <v>368</v>
      </c>
      <c r="G184" s="2">
        <v>25</v>
      </c>
      <c r="H184" s="3">
        <f>200%+200%+88%</f>
        <v>4.88</v>
      </c>
      <c r="I184" s="3">
        <f t="shared" si="86"/>
        <v>0</v>
      </c>
      <c r="J184" s="1" t="s">
        <v>183</v>
      </c>
    </row>
    <row r="185" spans="1:10" ht="48">
      <c r="A185" s="1">
        <v>2023</v>
      </c>
      <c r="B185" s="1" t="s">
        <v>9</v>
      </c>
      <c r="C185" s="1" t="s">
        <v>10</v>
      </c>
      <c r="D185" s="1" t="s">
        <v>356</v>
      </c>
      <c r="E185" s="1" t="s">
        <v>369</v>
      </c>
      <c r="F185" s="1" t="s">
        <v>370</v>
      </c>
      <c r="G185" s="5">
        <v>3</v>
      </c>
      <c r="H185" s="2">
        <f t="shared" ref="H185:H186" si="87">1+0+1</f>
        <v>2</v>
      </c>
      <c r="I185" s="5">
        <f t="shared" si="86"/>
        <v>0</v>
      </c>
      <c r="J185" s="1" t="s">
        <v>183</v>
      </c>
    </row>
    <row r="186" spans="1:10" ht="24">
      <c r="A186" s="1">
        <v>2023</v>
      </c>
      <c r="B186" s="1" t="s">
        <v>9</v>
      </c>
      <c r="C186" s="1" t="s">
        <v>10</v>
      </c>
      <c r="D186" s="1" t="s">
        <v>356</v>
      </c>
      <c r="E186" s="1" t="s">
        <v>371</v>
      </c>
      <c r="F186" s="1" t="s">
        <v>372</v>
      </c>
      <c r="G186" s="5">
        <v>3</v>
      </c>
      <c r="H186" s="2">
        <f t="shared" si="87"/>
        <v>2</v>
      </c>
      <c r="I186" s="5">
        <f t="shared" si="86"/>
        <v>0</v>
      </c>
      <c r="J186" s="1" t="s">
        <v>183</v>
      </c>
    </row>
    <row r="187" spans="1:10" ht="24">
      <c r="A187" s="1">
        <v>2023</v>
      </c>
      <c r="B187" s="1" t="s">
        <v>9</v>
      </c>
      <c r="C187" s="1" t="s">
        <v>10</v>
      </c>
      <c r="D187" s="1" t="s">
        <v>356</v>
      </c>
      <c r="E187" s="1" t="s">
        <v>261</v>
      </c>
      <c r="F187" s="1" t="s">
        <v>373</v>
      </c>
      <c r="G187" s="5">
        <v>4</v>
      </c>
      <c r="H187" s="5">
        <f t="shared" ref="H187:H188" si="88">5+4+4</f>
        <v>13</v>
      </c>
      <c r="I187" s="5">
        <f t="shared" ref="I187:I188" si="89">0+0+2</f>
        <v>2</v>
      </c>
      <c r="J187" s="1" t="s">
        <v>183</v>
      </c>
    </row>
    <row r="188" spans="1:10" ht="24">
      <c r="A188" s="1">
        <v>2023</v>
      </c>
      <c r="B188" s="1" t="s">
        <v>9</v>
      </c>
      <c r="C188" s="1" t="s">
        <v>10</v>
      </c>
      <c r="D188" s="1" t="s">
        <v>356</v>
      </c>
      <c r="E188" s="1" t="s">
        <v>374</v>
      </c>
      <c r="F188" s="1" t="s">
        <v>375</v>
      </c>
      <c r="G188" s="5">
        <v>4</v>
      </c>
      <c r="H188" s="5">
        <f t="shared" si="88"/>
        <v>13</v>
      </c>
      <c r="I188" s="5">
        <f t="shared" si="89"/>
        <v>2</v>
      </c>
      <c r="J188" s="1" t="s">
        <v>183</v>
      </c>
    </row>
    <row r="189" spans="1:10" ht="36">
      <c r="A189" s="1">
        <v>2023</v>
      </c>
      <c r="B189" s="1" t="s">
        <v>9</v>
      </c>
      <c r="C189" s="1" t="s">
        <v>10</v>
      </c>
      <c r="D189" s="1" t="s">
        <v>356</v>
      </c>
      <c r="E189" s="1" t="s">
        <v>376</v>
      </c>
      <c r="F189" s="1" t="s">
        <v>21</v>
      </c>
      <c r="G189" s="5">
        <v>1</v>
      </c>
      <c r="H189" s="5">
        <f t="shared" ref="H189:H190" si="90">0+1+1</f>
        <v>2</v>
      </c>
      <c r="I189" s="5">
        <f t="shared" ref="I189:I192" si="91">0+0+0</f>
        <v>0</v>
      </c>
      <c r="J189" s="1" t="s">
        <v>183</v>
      </c>
    </row>
    <row r="190" spans="1:10" ht="48">
      <c r="A190" s="1">
        <v>2023</v>
      </c>
      <c r="B190" s="1" t="s">
        <v>9</v>
      </c>
      <c r="C190" s="1" t="s">
        <v>10</v>
      </c>
      <c r="D190" s="1" t="s">
        <v>356</v>
      </c>
      <c r="E190" s="1" t="s">
        <v>378</v>
      </c>
      <c r="F190" s="1" t="s">
        <v>377</v>
      </c>
      <c r="G190" s="5">
        <v>1</v>
      </c>
      <c r="H190" s="5">
        <f t="shared" si="90"/>
        <v>2</v>
      </c>
      <c r="I190" s="5">
        <f t="shared" si="91"/>
        <v>0</v>
      </c>
      <c r="J190" s="1" t="s">
        <v>183</v>
      </c>
    </row>
    <row r="191" spans="1:10" ht="24">
      <c r="A191" s="1">
        <v>2023</v>
      </c>
      <c r="B191" s="1" t="s">
        <v>9</v>
      </c>
      <c r="C191" s="1" t="s">
        <v>10</v>
      </c>
      <c r="D191" s="1" t="s">
        <v>356</v>
      </c>
      <c r="E191" s="1" t="s">
        <v>379</v>
      </c>
      <c r="F191" s="1" t="s">
        <v>380</v>
      </c>
      <c r="G191" s="5">
        <v>13</v>
      </c>
      <c r="H191" s="5">
        <f>20+15+6</f>
        <v>41</v>
      </c>
      <c r="I191" s="5">
        <f t="shared" si="91"/>
        <v>0</v>
      </c>
      <c r="J191" s="1" t="s">
        <v>183</v>
      </c>
    </row>
    <row r="192" spans="1:10" ht="36">
      <c r="A192" s="1">
        <v>2023</v>
      </c>
      <c r="B192" s="1" t="s">
        <v>9</v>
      </c>
      <c r="C192" s="1" t="s">
        <v>10</v>
      </c>
      <c r="D192" s="1" t="s">
        <v>356</v>
      </c>
      <c r="E192" s="1" t="s">
        <v>381</v>
      </c>
      <c r="F192" s="1" t="s">
        <v>382</v>
      </c>
      <c r="G192" s="5">
        <v>13</v>
      </c>
      <c r="H192" s="5">
        <f>30+20+13</f>
        <v>63</v>
      </c>
      <c r="I192" s="5">
        <f t="shared" si="91"/>
        <v>0</v>
      </c>
      <c r="J192" s="1" t="s">
        <v>183</v>
      </c>
    </row>
    <row r="193" spans="1:10" ht="48">
      <c r="A193" s="1">
        <v>2023</v>
      </c>
      <c r="B193" s="1" t="s">
        <v>9</v>
      </c>
      <c r="C193" s="1" t="s">
        <v>179</v>
      </c>
      <c r="D193" s="1" t="s">
        <v>383</v>
      </c>
      <c r="E193" s="1" t="s">
        <v>384</v>
      </c>
      <c r="F193" s="1" t="s">
        <v>385</v>
      </c>
      <c r="G193" s="2">
        <v>0</v>
      </c>
      <c r="H193" s="3">
        <f t="shared" ref="H193:I193" si="92">0%+0%+100%</f>
        <v>1</v>
      </c>
      <c r="I193" s="3">
        <f t="shared" si="92"/>
        <v>1</v>
      </c>
      <c r="J193" s="1" t="s">
        <v>386</v>
      </c>
    </row>
    <row r="194" spans="1:10" ht="48">
      <c r="A194" s="1">
        <v>2023</v>
      </c>
      <c r="B194" s="1" t="s">
        <v>9</v>
      </c>
      <c r="C194" s="1" t="s">
        <v>179</v>
      </c>
      <c r="D194" s="1" t="s">
        <v>383</v>
      </c>
      <c r="E194" s="1" t="s">
        <v>387</v>
      </c>
      <c r="F194" s="1" t="s">
        <v>388</v>
      </c>
      <c r="G194" s="2">
        <v>0</v>
      </c>
      <c r="H194" s="3">
        <f t="shared" ref="H194:I194" si="93">0%+0%+100%</f>
        <v>1</v>
      </c>
      <c r="I194" s="3">
        <f t="shared" si="93"/>
        <v>1</v>
      </c>
      <c r="J194" s="1" t="s">
        <v>386</v>
      </c>
    </row>
    <row r="195" spans="1:10" ht="48">
      <c r="A195" s="1">
        <v>2023</v>
      </c>
      <c r="B195" s="1" t="s">
        <v>9</v>
      </c>
      <c r="C195" s="1" t="s">
        <v>179</v>
      </c>
      <c r="D195" s="1" t="s">
        <v>383</v>
      </c>
      <c r="E195" s="1" t="s">
        <v>389</v>
      </c>
      <c r="F195" s="1" t="s">
        <v>390</v>
      </c>
      <c r="G195" s="11">
        <v>11990</v>
      </c>
      <c r="H195" s="4">
        <f>30%+43%+25%</f>
        <v>0.98</v>
      </c>
      <c r="I195" s="4">
        <f>11.07%+11.08%+5.41%</f>
        <v>0.27560000000000001</v>
      </c>
      <c r="J195" s="1" t="s">
        <v>386</v>
      </c>
    </row>
    <row r="196" spans="1:10" ht="48">
      <c r="A196" s="1">
        <v>2023</v>
      </c>
      <c r="B196" s="1" t="s">
        <v>9</v>
      </c>
      <c r="C196" s="1" t="s">
        <v>179</v>
      </c>
      <c r="D196" s="1" t="s">
        <v>383</v>
      </c>
      <c r="E196" s="1" t="s">
        <v>391</v>
      </c>
      <c r="F196" s="1" t="s">
        <v>53</v>
      </c>
      <c r="G196" s="11">
        <v>564825</v>
      </c>
      <c r="H196" s="4">
        <f>40.24%+40.24%+40.24%</f>
        <v>1.2072000000000001</v>
      </c>
      <c r="I196" s="4">
        <f>16.95%+16.7%+11.35%</f>
        <v>0.44999999999999996</v>
      </c>
      <c r="J196" s="1" t="s">
        <v>386</v>
      </c>
    </row>
    <row r="197" spans="1:10" ht="60">
      <c r="A197" s="1">
        <v>2023</v>
      </c>
      <c r="B197" s="1" t="s">
        <v>9</v>
      </c>
      <c r="C197" s="1" t="s">
        <v>179</v>
      </c>
      <c r="D197" s="1" t="s">
        <v>383</v>
      </c>
      <c r="E197" s="1" t="s">
        <v>392</v>
      </c>
      <c r="F197" s="1" t="s">
        <v>393</v>
      </c>
      <c r="G197" s="2">
        <v>91</v>
      </c>
      <c r="H197" s="3">
        <f>33.33%+0%+0%</f>
        <v>0.33329999999999999</v>
      </c>
      <c r="I197" s="4">
        <f>0+0+0</f>
        <v>0</v>
      </c>
      <c r="J197" s="1" t="s">
        <v>386</v>
      </c>
    </row>
    <row r="198" spans="1:10" ht="60">
      <c r="A198" s="1">
        <v>2023</v>
      </c>
      <c r="B198" s="1" t="s">
        <v>9</v>
      </c>
      <c r="C198" s="1" t="s">
        <v>179</v>
      </c>
      <c r="D198" s="1" t="s">
        <v>383</v>
      </c>
      <c r="E198" s="1" t="s">
        <v>394</v>
      </c>
      <c r="F198" s="1" t="s">
        <v>395</v>
      </c>
      <c r="G198" s="2">
        <v>2</v>
      </c>
      <c r="H198" s="3">
        <f t="shared" ref="H198:I198" si="94">0%+0%+50%</f>
        <v>0.5</v>
      </c>
      <c r="I198" s="4">
        <f t="shared" si="94"/>
        <v>0.5</v>
      </c>
      <c r="J198" s="1" t="s">
        <v>386</v>
      </c>
    </row>
    <row r="199" spans="1:10" ht="48">
      <c r="A199" s="1">
        <v>2023</v>
      </c>
      <c r="B199" s="1" t="s">
        <v>9</v>
      </c>
      <c r="C199" s="1" t="s">
        <v>179</v>
      </c>
      <c r="D199" s="1" t="s">
        <v>383</v>
      </c>
      <c r="E199" s="1" t="s">
        <v>396</v>
      </c>
      <c r="F199" s="1" t="s">
        <v>397</v>
      </c>
      <c r="G199" s="11">
        <v>5995</v>
      </c>
      <c r="H199" s="11">
        <f>1302+1420+1450</f>
        <v>4172</v>
      </c>
      <c r="I199" s="11">
        <f>465+478+269</f>
        <v>1212</v>
      </c>
      <c r="J199" s="1" t="s">
        <v>386</v>
      </c>
    </row>
    <row r="200" spans="1:10" ht="36">
      <c r="A200" s="1">
        <v>2023</v>
      </c>
      <c r="B200" s="1" t="s">
        <v>9</v>
      </c>
      <c r="C200" s="1" t="s">
        <v>179</v>
      </c>
      <c r="D200" s="1" t="s">
        <v>383</v>
      </c>
      <c r="E200" s="1" t="s">
        <v>398</v>
      </c>
      <c r="F200" s="1" t="s">
        <v>399</v>
      </c>
      <c r="G200" s="11">
        <v>5995</v>
      </c>
      <c r="H200" s="11">
        <f>530+350+21</f>
        <v>901</v>
      </c>
      <c r="I200" s="11">
        <f>0+0+0</f>
        <v>0</v>
      </c>
      <c r="J200" s="1" t="s">
        <v>386</v>
      </c>
    </row>
    <row r="201" spans="1:10" ht="36">
      <c r="A201" s="1">
        <v>2023</v>
      </c>
      <c r="B201" s="1" t="s">
        <v>9</v>
      </c>
      <c r="C201" s="1" t="s">
        <v>179</v>
      </c>
      <c r="D201" s="1" t="s">
        <v>383</v>
      </c>
      <c r="E201" s="1" t="s">
        <v>400</v>
      </c>
      <c r="F201" s="1" t="s">
        <v>401</v>
      </c>
      <c r="G201" s="11">
        <v>188275</v>
      </c>
      <c r="H201" s="11">
        <f>21555+21960+21568</f>
        <v>65083</v>
      </c>
      <c r="I201" s="11">
        <f>34+33+23</f>
        <v>90</v>
      </c>
      <c r="J201" s="1" t="s">
        <v>386</v>
      </c>
    </row>
    <row r="202" spans="1:10" ht="36">
      <c r="A202" s="1">
        <v>2023</v>
      </c>
      <c r="B202" s="1" t="s">
        <v>9</v>
      </c>
      <c r="C202" s="1" t="s">
        <v>179</v>
      </c>
      <c r="D202" s="1" t="s">
        <v>383</v>
      </c>
      <c r="E202" s="1" t="s">
        <v>402</v>
      </c>
      <c r="F202" s="1" t="s">
        <v>403</v>
      </c>
      <c r="G202" s="11">
        <v>188275</v>
      </c>
      <c r="H202" s="11">
        <f>21864+21974+21774</f>
        <v>65612</v>
      </c>
      <c r="I202" s="11">
        <f>170+162+116</f>
        <v>448</v>
      </c>
      <c r="J202" s="1" t="s">
        <v>386</v>
      </c>
    </row>
    <row r="203" spans="1:10" ht="36">
      <c r="A203" s="1">
        <v>2023</v>
      </c>
      <c r="B203" s="1" t="s">
        <v>9</v>
      </c>
      <c r="C203" s="1" t="s">
        <v>179</v>
      </c>
      <c r="D203" s="1" t="s">
        <v>383</v>
      </c>
      <c r="E203" s="1" t="s">
        <v>404</v>
      </c>
      <c r="F203" s="1" t="s">
        <v>405</v>
      </c>
      <c r="G203" s="11">
        <v>188275</v>
      </c>
      <c r="H203" s="11">
        <f>21695+21695+21695</f>
        <v>65085</v>
      </c>
      <c r="I203" s="11">
        <f>34+33+23</f>
        <v>90</v>
      </c>
      <c r="J203" s="1" t="s">
        <v>386</v>
      </c>
    </row>
    <row r="204" spans="1:10" ht="60">
      <c r="A204" s="1">
        <v>2023</v>
      </c>
      <c r="B204" s="1" t="s">
        <v>9</v>
      </c>
      <c r="C204" s="1" t="s">
        <v>179</v>
      </c>
      <c r="D204" s="1" t="s">
        <v>383</v>
      </c>
      <c r="E204" s="1" t="s">
        <v>406</v>
      </c>
      <c r="F204" s="1" t="s">
        <v>407</v>
      </c>
      <c r="G204" s="11">
        <v>46</v>
      </c>
      <c r="H204" s="11">
        <f>2+2+1</f>
        <v>5</v>
      </c>
      <c r="I204" s="11">
        <f t="shared" ref="I204:I205" si="95">0+0+0</f>
        <v>0</v>
      </c>
      <c r="J204" s="1" t="s">
        <v>386</v>
      </c>
    </row>
    <row r="205" spans="1:10" ht="48">
      <c r="A205" s="1">
        <v>2023</v>
      </c>
      <c r="B205" s="1" t="s">
        <v>9</v>
      </c>
      <c r="C205" s="1" t="s">
        <v>179</v>
      </c>
      <c r="D205" s="1" t="s">
        <v>383</v>
      </c>
      <c r="E205" s="1" t="s">
        <v>408</v>
      </c>
      <c r="F205" s="1" t="s">
        <v>409</v>
      </c>
      <c r="G205" s="11">
        <v>46</v>
      </c>
      <c r="H205" s="11">
        <f>1+2+2</f>
        <v>5</v>
      </c>
      <c r="I205" s="11">
        <f t="shared" si="95"/>
        <v>0</v>
      </c>
      <c r="J205" s="1" t="s">
        <v>386</v>
      </c>
    </row>
    <row r="206" spans="1:10" ht="48">
      <c r="A206" s="1">
        <v>2023</v>
      </c>
      <c r="B206" s="1" t="s">
        <v>9</v>
      </c>
      <c r="C206" s="1" t="s">
        <v>179</v>
      </c>
      <c r="D206" s="1" t="s">
        <v>383</v>
      </c>
      <c r="E206" s="1" t="s">
        <v>410</v>
      </c>
      <c r="F206" s="1" t="s">
        <v>411</v>
      </c>
      <c r="G206" s="11">
        <v>1</v>
      </c>
      <c r="H206" s="11">
        <f t="shared" ref="H206:H207" si="96">0+1+1</f>
        <v>2</v>
      </c>
      <c r="I206" s="11">
        <f>0+0+1</f>
        <v>1</v>
      </c>
      <c r="J206" s="1" t="s">
        <v>386</v>
      </c>
    </row>
    <row r="207" spans="1:10" ht="48">
      <c r="A207" s="1">
        <v>2023</v>
      </c>
      <c r="B207" s="1" t="s">
        <v>9</v>
      </c>
      <c r="C207" s="1" t="s">
        <v>179</v>
      </c>
      <c r="D207" s="1" t="s">
        <v>383</v>
      </c>
      <c r="E207" s="1" t="s">
        <v>412</v>
      </c>
      <c r="F207" s="1" t="s">
        <v>413</v>
      </c>
      <c r="G207" s="11">
        <v>1</v>
      </c>
      <c r="H207" s="11">
        <f t="shared" si="96"/>
        <v>2</v>
      </c>
      <c r="I207" s="11">
        <f>0+1+0</f>
        <v>1</v>
      </c>
      <c r="J207" s="1" t="s">
        <v>386</v>
      </c>
    </row>
    <row r="208" spans="1:10" ht="48">
      <c r="A208" s="1">
        <v>2023</v>
      </c>
      <c r="B208" s="1" t="s">
        <v>9</v>
      </c>
      <c r="C208" s="1" t="s">
        <v>179</v>
      </c>
      <c r="D208" s="1" t="s">
        <v>414</v>
      </c>
      <c r="E208" s="1" t="s">
        <v>415</v>
      </c>
      <c r="F208" s="1" t="s">
        <v>416</v>
      </c>
      <c r="G208" s="2">
        <v>0</v>
      </c>
      <c r="H208" s="3">
        <f t="shared" ref="H208:H209" si="97">0%+0%+100%</f>
        <v>1</v>
      </c>
      <c r="I208" s="3">
        <f t="shared" ref="I208:I209" si="98">0+0+100%</f>
        <v>1</v>
      </c>
      <c r="J208" s="1" t="s">
        <v>386</v>
      </c>
    </row>
    <row r="209" spans="1:10" ht="36">
      <c r="A209" s="1">
        <v>2023</v>
      </c>
      <c r="B209" s="1" t="s">
        <v>9</v>
      </c>
      <c r="C209" s="1" t="s">
        <v>179</v>
      </c>
      <c r="D209" s="1" t="s">
        <v>414</v>
      </c>
      <c r="E209" s="1" t="s">
        <v>417</v>
      </c>
      <c r="F209" s="1" t="s">
        <v>418</v>
      </c>
      <c r="G209" s="2">
        <v>0</v>
      </c>
      <c r="H209" s="3">
        <f t="shared" si="97"/>
        <v>1</v>
      </c>
      <c r="I209" s="3">
        <f t="shared" si="98"/>
        <v>1</v>
      </c>
      <c r="J209" s="1" t="s">
        <v>386</v>
      </c>
    </row>
    <row r="210" spans="1:10" ht="48">
      <c r="A210" s="1">
        <v>2023</v>
      </c>
      <c r="B210" s="1" t="s">
        <v>9</v>
      </c>
      <c r="C210" s="1" t="s">
        <v>179</v>
      </c>
      <c r="D210" s="1" t="s">
        <v>414</v>
      </c>
      <c r="E210" s="1" t="s">
        <v>419</v>
      </c>
      <c r="F210" s="1" t="s">
        <v>420</v>
      </c>
      <c r="G210" s="2">
        <v>343210</v>
      </c>
      <c r="H210" s="4">
        <f>46%+46%+46%</f>
        <v>1.3800000000000001</v>
      </c>
      <c r="I210" s="4">
        <f>9.47%+10.82%+5.04%</f>
        <v>0.25330000000000003</v>
      </c>
      <c r="J210" s="1" t="s">
        <v>386</v>
      </c>
    </row>
    <row r="211" spans="1:10" ht="60">
      <c r="A211" s="1">
        <v>2023</v>
      </c>
      <c r="B211" s="1" t="s">
        <v>9</v>
      </c>
      <c r="C211" s="1" t="s">
        <v>179</v>
      </c>
      <c r="D211" s="1" t="s">
        <v>414</v>
      </c>
      <c r="E211" s="1" t="s">
        <v>421</v>
      </c>
      <c r="F211" s="1" t="s">
        <v>422</v>
      </c>
      <c r="G211" s="2">
        <v>120</v>
      </c>
      <c r="H211" s="3">
        <f>71.29%+71.29%+71.29%</f>
        <v>2.1387</v>
      </c>
      <c r="I211" s="4">
        <f>9.21%+8.42%+9.47%</f>
        <v>0.27100000000000002</v>
      </c>
      <c r="J211" s="1" t="s">
        <v>386</v>
      </c>
    </row>
    <row r="212" spans="1:10" ht="36">
      <c r="A212" s="1">
        <v>2023</v>
      </c>
      <c r="B212" s="1" t="s">
        <v>9</v>
      </c>
      <c r="C212" s="1" t="s">
        <v>179</v>
      </c>
      <c r="D212" s="1" t="s">
        <v>414</v>
      </c>
      <c r="E212" s="1" t="s">
        <v>423</v>
      </c>
      <c r="F212" s="1" t="s">
        <v>424</v>
      </c>
      <c r="G212" s="2">
        <v>10</v>
      </c>
      <c r="H212" s="3">
        <f>20%+30%+20%</f>
        <v>0.7</v>
      </c>
      <c r="I212" s="4">
        <f>20%+10%+20%</f>
        <v>0.5</v>
      </c>
      <c r="J212" s="1" t="s">
        <v>386</v>
      </c>
    </row>
    <row r="213" spans="1:10" ht="60">
      <c r="A213" s="1">
        <v>2023</v>
      </c>
      <c r="B213" s="1" t="s">
        <v>9</v>
      </c>
      <c r="C213" s="1" t="s">
        <v>179</v>
      </c>
      <c r="D213" s="1" t="s">
        <v>414</v>
      </c>
      <c r="E213" s="1" t="s">
        <v>425</v>
      </c>
      <c r="F213" s="1" t="s">
        <v>426</v>
      </c>
      <c r="G213" s="11">
        <v>57202</v>
      </c>
      <c r="H213" s="11">
        <f>13082+13082+13082</f>
        <v>39246</v>
      </c>
      <c r="I213" s="11">
        <f>320+277+149</f>
        <v>746</v>
      </c>
      <c r="J213" s="1" t="s">
        <v>386</v>
      </c>
    </row>
    <row r="214" spans="1:10" ht="60">
      <c r="A214" s="1">
        <v>2023</v>
      </c>
      <c r="B214" s="1" t="s">
        <v>9</v>
      </c>
      <c r="C214" s="1" t="s">
        <v>179</v>
      </c>
      <c r="D214" s="1" t="s">
        <v>414</v>
      </c>
      <c r="E214" s="1" t="s">
        <v>427</v>
      </c>
      <c r="F214" s="1" t="s">
        <v>426</v>
      </c>
      <c r="G214" s="11">
        <v>57202</v>
      </c>
      <c r="H214" s="11">
        <f>12857+12857+12957</f>
        <v>38671</v>
      </c>
      <c r="I214" s="11">
        <f>119+133+66</f>
        <v>318</v>
      </c>
      <c r="J214" s="1" t="s">
        <v>386</v>
      </c>
    </row>
    <row r="215" spans="1:10" ht="60">
      <c r="A215" s="1">
        <v>2023</v>
      </c>
      <c r="B215" s="1" t="s">
        <v>9</v>
      </c>
      <c r="C215" s="1" t="s">
        <v>179</v>
      </c>
      <c r="D215" s="1" t="s">
        <v>414</v>
      </c>
      <c r="E215" s="1" t="s">
        <v>428</v>
      </c>
      <c r="F215" s="1" t="s">
        <v>426</v>
      </c>
      <c r="G215" s="11">
        <v>57202</v>
      </c>
      <c r="H215" s="11">
        <f>12922+13000+12993</f>
        <v>38915</v>
      </c>
      <c r="I215" s="11">
        <f>183+255+30</f>
        <v>468</v>
      </c>
      <c r="J215" s="1" t="s">
        <v>386</v>
      </c>
    </row>
    <row r="216" spans="1:10" ht="60">
      <c r="A216" s="1">
        <v>2023</v>
      </c>
      <c r="B216" s="1" t="s">
        <v>9</v>
      </c>
      <c r="C216" s="1" t="s">
        <v>179</v>
      </c>
      <c r="D216" s="1" t="s">
        <v>414</v>
      </c>
      <c r="E216" s="1" t="s">
        <v>429</v>
      </c>
      <c r="F216" s="1" t="s">
        <v>426</v>
      </c>
      <c r="G216" s="11">
        <v>57202</v>
      </c>
      <c r="H216" s="11">
        <f>12788+12788+12788</f>
        <v>38364</v>
      </c>
      <c r="I216" s="11">
        <f t="shared" ref="I216:I217" si="99">0+0+0</f>
        <v>0</v>
      </c>
      <c r="J216" s="1" t="s">
        <v>386</v>
      </c>
    </row>
    <row r="217" spans="1:10" ht="60">
      <c r="A217" s="1">
        <v>2023</v>
      </c>
      <c r="B217" s="1" t="s">
        <v>9</v>
      </c>
      <c r="C217" s="1" t="s">
        <v>179</v>
      </c>
      <c r="D217" s="1" t="s">
        <v>414</v>
      </c>
      <c r="E217" s="1" t="s">
        <v>430</v>
      </c>
      <c r="F217" s="1" t="s">
        <v>426</v>
      </c>
      <c r="G217" s="11">
        <v>57202</v>
      </c>
      <c r="H217" s="11">
        <f>12802+12791+12801</f>
        <v>38394</v>
      </c>
      <c r="I217" s="11">
        <f t="shared" si="99"/>
        <v>0</v>
      </c>
      <c r="J217" s="1" t="s">
        <v>386</v>
      </c>
    </row>
    <row r="218" spans="1:10" ht="36">
      <c r="A218" s="1">
        <v>2023</v>
      </c>
      <c r="B218" s="1" t="s">
        <v>9</v>
      </c>
      <c r="C218" s="1" t="s">
        <v>179</v>
      </c>
      <c r="D218" s="1" t="s">
        <v>414</v>
      </c>
      <c r="E218" s="1" t="s">
        <v>431</v>
      </c>
      <c r="F218" s="1" t="s">
        <v>432</v>
      </c>
      <c r="G218" s="11">
        <v>57202</v>
      </c>
      <c r="H218" s="11">
        <f>14877+14877+14876</f>
        <v>44630</v>
      </c>
      <c r="I218" s="11">
        <f>1086+3833+638</f>
        <v>5557</v>
      </c>
      <c r="J218" s="1" t="s">
        <v>386</v>
      </c>
    </row>
    <row r="219" spans="1:10" ht="48">
      <c r="A219" s="1">
        <v>2023</v>
      </c>
      <c r="B219" s="1" t="s">
        <v>9</v>
      </c>
      <c r="C219" s="1" t="s">
        <v>179</v>
      </c>
      <c r="D219" s="1" t="s">
        <v>414</v>
      </c>
      <c r="E219" s="1" t="s">
        <v>433</v>
      </c>
      <c r="F219" s="1" t="s">
        <v>434</v>
      </c>
      <c r="G219" s="11">
        <v>40</v>
      </c>
      <c r="H219" s="11">
        <f>36+37+37</f>
        <v>110</v>
      </c>
      <c r="I219" s="11">
        <f>18+17+20</f>
        <v>55</v>
      </c>
      <c r="J219" s="1" t="s">
        <v>386</v>
      </c>
    </row>
    <row r="220" spans="1:10" ht="48">
      <c r="A220" s="1">
        <v>2023</v>
      </c>
      <c r="B220" s="1" t="s">
        <v>9</v>
      </c>
      <c r="C220" s="1" t="s">
        <v>179</v>
      </c>
      <c r="D220" s="1" t="s">
        <v>414</v>
      </c>
      <c r="E220" s="1" t="s">
        <v>435</v>
      </c>
      <c r="F220" s="1" t="s">
        <v>434</v>
      </c>
      <c r="G220" s="11">
        <v>40</v>
      </c>
      <c r="H220" s="11">
        <f>35+35+35</f>
        <v>105</v>
      </c>
      <c r="I220" s="11">
        <f>17+15+16</f>
        <v>48</v>
      </c>
      <c r="J220" s="1" t="s">
        <v>386</v>
      </c>
    </row>
    <row r="221" spans="1:10" ht="48">
      <c r="A221" s="1">
        <v>2023</v>
      </c>
      <c r="B221" s="1" t="s">
        <v>9</v>
      </c>
      <c r="C221" s="1" t="s">
        <v>179</v>
      </c>
      <c r="D221" s="1" t="s">
        <v>414</v>
      </c>
      <c r="E221" s="1" t="s">
        <v>436</v>
      </c>
      <c r="F221" s="1" t="s">
        <v>437</v>
      </c>
      <c r="G221" s="11">
        <v>40</v>
      </c>
      <c r="H221" s="11">
        <f>23+23+23</f>
        <v>69</v>
      </c>
      <c r="I221" s="11">
        <f>3+4+4</f>
        <v>11</v>
      </c>
      <c r="J221" s="1" t="s">
        <v>386</v>
      </c>
    </row>
    <row r="222" spans="1:10" ht="48">
      <c r="A222" s="1">
        <v>2023</v>
      </c>
      <c r="B222" s="1" t="s">
        <v>9</v>
      </c>
      <c r="C222" s="1" t="s">
        <v>179</v>
      </c>
      <c r="D222" s="1" t="s">
        <v>414</v>
      </c>
      <c r="E222" s="1" t="s">
        <v>438</v>
      </c>
      <c r="F222" s="1" t="s">
        <v>439</v>
      </c>
      <c r="G222" s="11">
        <v>2</v>
      </c>
      <c r="H222" s="11">
        <f t="shared" ref="H222:I222" si="100">0+0+0</f>
        <v>0</v>
      </c>
      <c r="I222" s="11">
        <f t="shared" si="100"/>
        <v>0</v>
      </c>
      <c r="J222" s="1" t="s">
        <v>386</v>
      </c>
    </row>
    <row r="223" spans="1:10" ht="36">
      <c r="A223" s="1">
        <v>2023</v>
      </c>
      <c r="B223" s="1" t="s">
        <v>9</v>
      </c>
      <c r="C223" s="1" t="s">
        <v>179</v>
      </c>
      <c r="D223" s="1" t="s">
        <v>414</v>
      </c>
      <c r="E223" s="1" t="s">
        <v>440</v>
      </c>
      <c r="F223" s="1" t="s">
        <v>441</v>
      </c>
      <c r="G223" s="11">
        <v>2</v>
      </c>
      <c r="H223" s="11">
        <f t="shared" ref="H223:I223" si="101">0+0+0</f>
        <v>0</v>
      </c>
      <c r="I223" s="11">
        <f t="shared" si="101"/>
        <v>0</v>
      </c>
      <c r="J223" s="1" t="s">
        <v>386</v>
      </c>
    </row>
    <row r="224" spans="1:10" ht="48">
      <c r="A224" s="1">
        <v>2023</v>
      </c>
      <c r="B224" s="1" t="s">
        <v>9</v>
      </c>
      <c r="C224" s="1" t="s">
        <v>179</v>
      </c>
      <c r="D224" s="1" t="s">
        <v>414</v>
      </c>
      <c r="E224" s="1" t="s">
        <v>442</v>
      </c>
      <c r="F224" s="1" t="s">
        <v>443</v>
      </c>
      <c r="G224" s="11">
        <v>2</v>
      </c>
      <c r="H224" s="11">
        <f>0+0+1</f>
        <v>1</v>
      </c>
      <c r="I224" s="11">
        <f>1+1+0</f>
        <v>2</v>
      </c>
      <c r="J224" s="1" t="s">
        <v>386</v>
      </c>
    </row>
    <row r="225" spans="1:10" ht="72">
      <c r="A225" s="1">
        <v>2023</v>
      </c>
      <c r="B225" s="1" t="s">
        <v>9</v>
      </c>
      <c r="C225" s="1" t="s">
        <v>179</v>
      </c>
      <c r="D225" s="1" t="s">
        <v>414</v>
      </c>
      <c r="E225" s="1" t="s">
        <v>444</v>
      </c>
      <c r="F225" s="1" t="s">
        <v>445</v>
      </c>
      <c r="G225" s="11">
        <v>2</v>
      </c>
      <c r="H225" s="11">
        <f t="shared" ref="H225:I225" si="102">0+0+0</f>
        <v>0</v>
      </c>
      <c r="I225" s="11">
        <f t="shared" si="102"/>
        <v>0</v>
      </c>
      <c r="J225" s="1" t="s">
        <v>386</v>
      </c>
    </row>
    <row r="226" spans="1:10" ht="36">
      <c r="A226" s="1">
        <v>2023</v>
      </c>
      <c r="B226" s="1" t="s">
        <v>9</v>
      </c>
      <c r="C226" s="1" t="s">
        <v>179</v>
      </c>
      <c r="D226" s="1" t="s">
        <v>414</v>
      </c>
      <c r="E226" s="1" t="s">
        <v>446</v>
      </c>
      <c r="F226" s="1" t="s">
        <v>447</v>
      </c>
      <c r="G226" s="11">
        <v>2</v>
      </c>
      <c r="H226" s="11">
        <f>1+1+1</f>
        <v>3</v>
      </c>
      <c r="I226" s="11">
        <f>2+0+2</f>
        <v>4</v>
      </c>
      <c r="J226" s="1" t="s">
        <v>386</v>
      </c>
    </row>
    <row r="227" spans="1:10" ht="48">
      <c r="A227" s="1">
        <v>2023</v>
      </c>
      <c r="B227" s="1" t="s">
        <v>9</v>
      </c>
      <c r="C227" s="1" t="s">
        <v>179</v>
      </c>
      <c r="D227" s="1" t="s">
        <v>448</v>
      </c>
      <c r="E227" s="1" t="s">
        <v>449</v>
      </c>
      <c r="F227" s="1" t="s">
        <v>450</v>
      </c>
      <c r="G227" s="2">
        <v>0</v>
      </c>
      <c r="H227" s="3">
        <f t="shared" ref="H227:I227" si="103">0%+0%+100%</f>
        <v>1</v>
      </c>
      <c r="I227" s="3">
        <f t="shared" si="103"/>
        <v>1</v>
      </c>
      <c r="J227" s="1" t="s">
        <v>386</v>
      </c>
    </row>
    <row r="228" spans="1:10" ht="36">
      <c r="A228" s="1">
        <v>2023</v>
      </c>
      <c r="B228" s="1" t="s">
        <v>9</v>
      </c>
      <c r="C228" s="1" t="s">
        <v>179</v>
      </c>
      <c r="D228" s="1" t="s">
        <v>448</v>
      </c>
      <c r="E228" s="1" t="s">
        <v>451</v>
      </c>
      <c r="F228" s="1" t="s">
        <v>452</v>
      </c>
      <c r="G228" s="2">
        <v>0</v>
      </c>
      <c r="H228" s="3">
        <f t="shared" ref="H228:I228" si="104">0%+0%+100%</f>
        <v>1</v>
      </c>
      <c r="I228" s="3">
        <f t="shared" si="104"/>
        <v>1</v>
      </c>
      <c r="J228" s="1" t="s">
        <v>386</v>
      </c>
    </row>
    <row r="229" spans="1:10" ht="72">
      <c r="A229" s="1">
        <v>2023</v>
      </c>
      <c r="B229" s="1" t="s">
        <v>9</v>
      </c>
      <c r="C229" s="1" t="s">
        <v>179</v>
      </c>
      <c r="D229" s="1" t="s">
        <v>448</v>
      </c>
      <c r="E229" s="1" t="s">
        <v>453</v>
      </c>
      <c r="F229" s="1" t="s">
        <v>454</v>
      </c>
      <c r="G229" s="2">
        <v>34</v>
      </c>
      <c r="H229" s="3">
        <f t="shared" ref="H229:I229" si="105">200%+0%+0%</f>
        <v>2</v>
      </c>
      <c r="I229" s="4">
        <f t="shared" si="105"/>
        <v>2</v>
      </c>
      <c r="J229" s="1" t="s">
        <v>386</v>
      </c>
    </row>
    <row r="230" spans="1:10" ht="36">
      <c r="A230" s="1">
        <v>2023</v>
      </c>
      <c r="B230" s="1" t="s">
        <v>9</v>
      </c>
      <c r="C230" s="1" t="s">
        <v>179</v>
      </c>
      <c r="D230" s="1" t="s">
        <v>448</v>
      </c>
      <c r="E230" s="1" t="s">
        <v>455</v>
      </c>
      <c r="F230" s="1" t="s">
        <v>456</v>
      </c>
      <c r="G230" s="2">
        <v>82</v>
      </c>
      <c r="H230" s="3">
        <f t="shared" ref="H230:I230" si="106">121%+0%+0%</f>
        <v>1.21</v>
      </c>
      <c r="I230" s="4">
        <f t="shared" si="106"/>
        <v>1.21</v>
      </c>
      <c r="J230" s="1" t="s">
        <v>386</v>
      </c>
    </row>
    <row r="231" spans="1:10" ht="36">
      <c r="A231" s="1">
        <v>2023</v>
      </c>
      <c r="B231" s="1" t="s">
        <v>9</v>
      </c>
      <c r="C231" s="1" t="s">
        <v>179</v>
      </c>
      <c r="D231" s="1" t="s">
        <v>448</v>
      </c>
      <c r="E231" s="1" t="s">
        <v>457</v>
      </c>
      <c r="F231" s="1" t="s">
        <v>458</v>
      </c>
      <c r="G231" s="2">
        <v>2</v>
      </c>
      <c r="H231" s="3">
        <f>0%+0%+50%</f>
        <v>0.5</v>
      </c>
      <c r="I231" s="4">
        <f>50%+50%+0%</f>
        <v>1</v>
      </c>
      <c r="J231" s="1" t="s">
        <v>386</v>
      </c>
    </row>
    <row r="232" spans="1:10" ht="36">
      <c r="A232" s="1">
        <v>2023</v>
      </c>
      <c r="B232" s="1" t="s">
        <v>9</v>
      </c>
      <c r="C232" s="1" t="s">
        <v>179</v>
      </c>
      <c r="D232" s="1" t="s">
        <v>448</v>
      </c>
      <c r="E232" s="1" t="s">
        <v>460</v>
      </c>
      <c r="F232" s="1" t="s">
        <v>459</v>
      </c>
      <c r="G232" s="5">
        <v>17</v>
      </c>
      <c r="H232" s="5">
        <f>34+0+0</f>
        <v>34</v>
      </c>
      <c r="I232" s="5">
        <f>42+0+0</f>
        <v>42</v>
      </c>
      <c r="J232" s="1" t="s">
        <v>386</v>
      </c>
    </row>
    <row r="233" spans="1:10" ht="48">
      <c r="A233" s="1">
        <v>2023</v>
      </c>
      <c r="B233" s="1" t="s">
        <v>9</v>
      </c>
      <c r="C233" s="1" t="s">
        <v>179</v>
      </c>
      <c r="D233" s="1" t="s">
        <v>448</v>
      </c>
      <c r="E233" s="1" t="s">
        <v>461</v>
      </c>
      <c r="F233" s="1" t="s">
        <v>462</v>
      </c>
      <c r="G233" s="5">
        <v>17</v>
      </c>
      <c r="H233" s="5">
        <f>0+0+0</f>
        <v>0</v>
      </c>
      <c r="I233" s="5">
        <f>8+0+0</f>
        <v>8</v>
      </c>
      <c r="J233" s="1" t="s">
        <v>386</v>
      </c>
    </row>
    <row r="234" spans="1:10" ht="36">
      <c r="A234" s="1">
        <v>2023</v>
      </c>
      <c r="B234" s="1" t="s">
        <v>9</v>
      </c>
      <c r="C234" s="1" t="s">
        <v>179</v>
      </c>
      <c r="D234" s="1" t="s">
        <v>448</v>
      </c>
      <c r="E234" s="1" t="s">
        <v>463</v>
      </c>
      <c r="F234" s="1" t="s">
        <v>464</v>
      </c>
      <c r="G234" s="5">
        <v>41</v>
      </c>
      <c r="H234" s="5">
        <f>12560+0+0</f>
        <v>12560</v>
      </c>
      <c r="I234" s="5">
        <f>12580+0+0</f>
        <v>12580</v>
      </c>
      <c r="J234" s="1" t="s">
        <v>386</v>
      </c>
    </row>
    <row r="235" spans="1:10" ht="36">
      <c r="A235" s="1">
        <v>2023</v>
      </c>
      <c r="B235" s="1" t="s">
        <v>9</v>
      </c>
      <c r="C235" s="1" t="s">
        <v>179</v>
      </c>
      <c r="D235" s="1" t="s">
        <v>448</v>
      </c>
      <c r="E235" s="1" t="s">
        <v>465</v>
      </c>
      <c r="F235" s="1" t="s">
        <v>466</v>
      </c>
      <c r="G235" s="5">
        <v>41</v>
      </c>
      <c r="H235" s="5">
        <f t="shared" ref="H235:H236" si="107">0+0+0</f>
        <v>0</v>
      </c>
      <c r="I235" s="5">
        <f>20+0+0</f>
        <v>20</v>
      </c>
      <c r="J235" s="1" t="s">
        <v>386</v>
      </c>
    </row>
    <row r="236" spans="1:10" ht="36">
      <c r="A236" s="1">
        <v>2023</v>
      </c>
      <c r="B236" s="1" t="s">
        <v>9</v>
      </c>
      <c r="C236" s="1" t="s">
        <v>179</v>
      </c>
      <c r="D236" s="1" t="s">
        <v>448</v>
      </c>
      <c r="E236" s="1" t="s">
        <v>467</v>
      </c>
      <c r="F236" s="1" t="s">
        <v>458</v>
      </c>
      <c r="G236" s="5">
        <v>2</v>
      </c>
      <c r="H236" s="5">
        <f t="shared" si="107"/>
        <v>0</v>
      </c>
      <c r="I236" s="5">
        <f>1+1+0</f>
        <v>2</v>
      </c>
      <c r="J236" s="1" t="s">
        <v>386</v>
      </c>
    </row>
    <row r="237" spans="1:10" ht="48">
      <c r="A237" s="1">
        <v>2023</v>
      </c>
      <c r="B237" s="1" t="s">
        <v>9</v>
      </c>
      <c r="C237" s="1" t="s">
        <v>179</v>
      </c>
      <c r="D237" s="1" t="s">
        <v>468</v>
      </c>
      <c r="E237" s="1" t="s">
        <v>469</v>
      </c>
      <c r="F237" s="1" t="s">
        <v>470</v>
      </c>
      <c r="G237" s="2">
        <v>0</v>
      </c>
      <c r="H237" s="3">
        <f t="shared" ref="H237:I237" si="108">0%+0%+100%</f>
        <v>1</v>
      </c>
      <c r="I237" s="3">
        <f t="shared" si="108"/>
        <v>1</v>
      </c>
      <c r="J237" s="1" t="s">
        <v>386</v>
      </c>
    </row>
    <row r="238" spans="1:10" ht="36">
      <c r="A238" s="1">
        <v>2023</v>
      </c>
      <c r="B238" s="1" t="s">
        <v>9</v>
      </c>
      <c r="C238" s="1" t="s">
        <v>179</v>
      </c>
      <c r="D238" s="1" t="s">
        <v>468</v>
      </c>
      <c r="E238" s="1" t="s">
        <v>471</v>
      </c>
      <c r="F238" s="1" t="s">
        <v>472</v>
      </c>
      <c r="G238" s="2">
        <v>0</v>
      </c>
      <c r="H238" s="3">
        <f t="shared" ref="H238:I238" si="109">0%+0%+100%</f>
        <v>1</v>
      </c>
      <c r="I238" s="3">
        <f t="shared" si="109"/>
        <v>1</v>
      </c>
      <c r="J238" s="1" t="s">
        <v>386</v>
      </c>
    </row>
    <row r="239" spans="1:10" ht="72">
      <c r="A239" s="1">
        <v>2023</v>
      </c>
      <c r="B239" s="1" t="s">
        <v>9</v>
      </c>
      <c r="C239" s="1" t="s">
        <v>179</v>
      </c>
      <c r="D239" s="1" t="s">
        <v>468</v>
      </c>
      <c r="E239" s="1" t="s">
        <v>473</v>
      </c>
      <c r="F239" s="1" t="s">
        <v>474</v>
      </c>
      <c r="G239" s="2">
        <v>24</v>
      </c>
      <c r="H239" s="4">
        <f>79.17%+79.17%+83.33%</f>
        <v>2.4167000000000001</v>
      </c>
      <c r="I239" s="4">
        <f>0+0+16.67%</f>
        <v>0.16670000000000001</v>
      </c>
      <c r="J239" s="1" t="s">
        <v>386</v>
      </c>
    </row>
    <row r="240" spans="1:10" ht="36">
      <c r="A240" s="1">
        <v>2023</v>
      </c>
      <c r="B240" s="1" t="s">
        <v>9</v>
      </c>
      <c r="C240" s="1" t="s">
        <v>179</v>
      </c>
      <c r="D240" s="1" t="s">
        <v>468</v>
      </c>
      <c r="E240" s="1" t="s">
        <v>475</v>
      </c>
      <c r="F240" s="1" t="s">
        <v>476</v>
      </c>
      <c r="G240" s="2">
        <v>484</v>
      </c>
      <c r="H240" s="4">
        <f>18.18%+18.18%+27.27%</f>
        <v>0.63629999999999998</v>
      </c>
      <c r="I240" s="4">
        <f>9%+0+9%</f>
        <v>0.18</v>
      </c>
      <c r="J240" s="1" t="s">
        <v>386</v>
      </c>
    </row>
    <row r="241" spans="1:10" ht="48">
      <c r="A241" s="1">
        <v>2023</v>
      </c>
      <c r="B241" s="1" t="s">
        <v>9</v>
      </c>
      <c r="C241" s="1" t="s">
        <v>179</v>
      </c>
      <c r="D241" s="1" t="s">
        <v>468</v>
      </c>
      <c r="E241" s="1" t="s">
        <v>477</v>
      </c>
      <c r="F241" s="1" t="s">
        <v>478</v>
      </c>
      <c r="G241" s="2">
        <v>7</v>
      </c>
      <c r="H241" s="3">
        <f>60%+20%+40%</f>
        <v>1.2000000000000002</v>
      </c>
      <c r="I241" s="4">
        <f>0+0+60%</f>
        <v>0.6</v>
      </c>
      <c r="J241" s="1" t="s">
        <v>386</v>
      </c>
    </row>
    <row r="242" spans="1:10" ht="48">
      <c r="A242" s="1">
        <v>2023</v>
      </c>
      <c r="B242" s="1" t="s">
        <v>9</v>
      </c>
      <c r="C242" s="1" t="s">
        <v>179</v>
      </c>
      <c r="D242" s="1" t="s">
        <v>468</v>
      </c>
      <c r="E242" s="1" t="s">
        <v>479</v>
      </c>
      <c r="F242" s="1" t="s">
        <v>480</v>
      </c>
      <c r="G242" s="11">
        <v>541052</v>
      </c>
      <c r="H242" s="4">
        <f>89.22%+87.42%+84.89%</f>
        <v>2.6153</v>
      </c>
      <c r="I242" s="4">
        <f>9%+0+9%</f>
        <v>0.18</v>
      </c>
      <c r="J242" s="1" t="s">
        <v>386</v>
      </c>
    </row>
    <row r="243" spans="1:10" ht="36">
      <c r="A243" s="1">
        <v>2023</v>
      </c>
      <c r="B243" s="1" t="s">
        <v>9</v>
      </c>
      <c r="C243" s="1" t="s">
        <v>179</v>
      </c>
      <c r="D243" s="1" t="s">
        <v>468</v>
      </c>
      <c r="E243" s="1" t="s">
        <v>481</v>
      </c>
      <c r="F243" s="1" t="s">
        <v>482</v>
      </c>
      <c r="G243" s="11">
        <v>6</v>
      </c>
      <c r="H243" s="11">
        <f>80+80+82</f>
        <v>242</v>
      </c>
      <c r="I243" s="11">
        <f>54+40+34</f>
        <v>128</v>
      </c>
      <c r="J243" s="1" t="s">
        <v>386</v>
      </c>
    </row>
    <row r="244" spans="1:10" ht="36">
      <c r="A244" s="1">
        <v>2023</v>
      </c>
      <c r="B244" s="1" t="s">
        <v>9</v>
      </c>
      <c r="C244" s="1" t="s">
        <v>179</v>
      </c>
      <c r="D244" s="1" t="s">
        <v>468</v>
      </c>
      <c r="E244" s="1" t="s">
        <v>483</v>
      </c>
      <c r="F244" s="1" t="s">
        <v>484</v>
      </c>
      <c r="G244" s="11">
        <v>6</v>
      </c>
      <c r="H244" s="11">
        <f>10+10+11</f>
        <v>31</v>
      </c>
      <c r="I244" s="11">
        <f>3+2+0</f>
        <v>5</v>
      </c>
      <c r="J244" s="1" t="s">
        <v>386</v>
      </c>
    </row>
    <row r="245" spans="1:10" ht="36">
      <c r="A245" s="1">
        <v>2023</v>
      </c>
      <c r="B245" s="1" t="s">
        <v>9</v>
      </c>
      <c r="C245" s="1" t="s">
        <v>179</v>
      </c>
      <c r="D245" s="1" t="s">
        <v>468</v>
      </c>
      <c r="E245" s="1" t="s">
        <v>485</v>
      </c>
      <c r="F245" s="1" t="s">
        <v>486</v>
      </c>
      <c r="G245" s="11">
        <v>6</v>
      </c>
      <c r="H245" s="11">
        <f>5+5+6</f>
        <v>16</v>
      </c>
      <c r="I245" s="11">
        <f>2+5+3</f>
        <v>10</v>
      </c>
      <c r="J245" s="1" t="s">
        <v>386</v>
      </c>
    </row>
    <row r="246" spans="1:10" ht="36">
      <c r="A246" s="1">
        <v>2023</v>
      </c>
      <c r="B246" s="1" t="s">
        <v>9</v>
      </c>
      <c r="C246" s="1" t="s">
        <v>179</v>
      </c>
      <c r="D246" s="1" t="s">
        <v>468</v>
      </c>
      <c r="E246" s="1" t="s">
        <v>488</v>
      </c>
      <c r="F246" s="1" t="s">
        <v>487</v>
      </c>
      <c r="G246" s="11">
        <v>6</v>
      </c>
      <c r="H246" s="11">
        <f>3+3+2</f>
        <v>8</v>
      </c>
      <c r="I246" s="11">
        <f>0+0+0</f>
        <v>0</v>
      </c>
      <c r="J246" s="1" t="s">
        <v>386</v>
      </c>
    </row>
    <row r="247" spans="1:10" ht="36">
      <c r="A247" s="1">
        <v>2023</v>
      </c>
      <c r="B247" s="1" t="s">
        <v>9</v>
      </c>
      <c r="C247" s="1" t="s">
        <v>179</v>
      </c>
      <c r="D247" s="1" t="s">
        <v>468</v>
      </c>
      <c r="E247" s="1" t="s">
        <v>489</v>
      </c>
      <c r="F247" s="1" t="s">
        <v>490</v>
      </c>
      <c r="G247" s="11">
        <v>242</v>
      </c>
      <c r="H247" s="11">
        <f>5+5+6</f>
        <v>16</v>
      </c>
      <c r="I247" s="11">
        <f>1+0+1</f>
        <v>2</v>
      </c>
      <c r="J247" s="1" t="s">
        <v>386</v>
      </c>
    </row>
    <row r="248" spans="1:10" ht="36">
      <c r="A248" s="1">
        <v>2023</v>
      </c>
      <c r="B248" s="1" t="s">
        <v>9</v>
      </c>
      <c r="C248" s="1" t="s">
        <v>179</v>
      </c>
      <c r="D248" s="1" t="s">
        <v>468</v>
      </c>
      <c r="E248" s="1" t="s">
        <v>491</v>
      </c>
      <c r="F248" s="1" t="s">
        <v>492</v>
      </c>
      <c r="G248" s="11">
        <v>242</v>
      </c>
      <c r="H248" s="11">
        <f>3+3+3</f>
        <v>9</v>
      </c>
      <c r="I248" s="11">
        <f>0+0+0</f>
        <v>0</v>
      </c>
      <c r="J248" s="1" t="s">
        <v>386</v>
      </c>
    </row>
    <row r="249" spans="1:10" ht="36">
      <c r="A249" s="1">
        <v>2023</v>
      </c>
      <c r="B249" s="1" t="s">
        <v>9</v>
      </c>
      <c r="C249" s="1" t="s">
        <v>179</v>
      </c>
      <c r="D249" s="1" t="s">
        <v>468</v>
      </c>
      <c r="E249" s="1" t="s">
        <v>493</v>
      </c>
      <c r="F249" s="1" t="s">
        <v>494</v>
      </c>
      <c r="G249" s="11">
        <v>2</v>
      </c>
      <c r="H249" s="11">
        <f>1+0+1</f>
        <v>2</v>
      </c>
      <c r="I249" s="11">
        <f>0+0+3</f>
        <v>3</v>
      </c>
      <c r="J249" s="1" t="s">
        <v>386</v>
      </c>
    </row>
    <row r="250" spans="1:10" ht="36">
      <c r="A250" s="1">
        <v>2023</v>
      </c>
      <c r="B250" s="1" t="s">
        <v>9</v>
      </c>
      <c r="C250" s="1" t="s">
        <v>179</v>
      </c>
      <c r="D250" s="1" t="s">
        <v>468</v>
      </c>
      <c r="E250" s="1" t="s">
        <v>495</v>
      </c>
      <c r="F250" s="1" t="s">
        <v>496</v>
      </c>
      <c r="G250" s="11">
        <v>2</v>
      </c>
      <c r="H250" s="11">
        <f t="shared" ref="H250:I250" si="110">0+0+0</f>
        <v>0</v>
      </c>
      <c r="I250" s="11">
        <f t="shared" si="110"/>
        <v>0</v>
      </c>
      <c r="J250" s="1" t="s">
        <v>386</v>
      </c>
    </row>
    <row r="251" spans="1:10" ht="36">
      <c r="A251" s="1">
        <v>2023</v>
      </c>
      <c r="B251" s="1" t="s">
        <v>9</v>
      </c>
      <c r="C251" s="1" t="s">
        <v>179</v>
      </c>
      <c r="D251" s="1" t="s">
        <v>468</v>
      </c>
      <c r="E251" s="1" t="s">
        <v>497</v>
      </c>
      <c r="F251" s="1" t="s">
        <v>498</v>
      </c>
      <c r="G251" s="11">
        <v>2</v>
      </c>
      <c r="H251" s="11">
        <f>0+0+0</f>
        <v>0</v>
      </c>
      <c r="I251" s="11">
        <f>0+0+1</f>
        <v>1</v>
      </c>
      <c r="J251" s="1" t="s">
        <v>386</v>
      </c>
    </row>
    <row r="252" spans="1:10" ht="36">
      <c r="A252" s="1">
        <v>2023</v>
      </c>
      <c r="B252" s="1" t="s">
        <v>9</v>
      </c>
      <c r="C252" s="1" t="s">
        <v>179</v>
      </c>
      <c r="D252" s="1" t="s">
        <v>468</v>
      </c>
      <c r="E252" s="1" t="s">
        <v>499</v>
      </c>
      <c r="F252" s="1" t="s">
        <v>500</v>
      </c>
      <c r="G252" s="11">
        <v>180351</v>
      </c>
      <c r="H252" s="11">
        <f>106908+106909+106909</f>
        <v>320726</v>
      </c>
      <c r="I252" s="11">
        <f>27361+24642+22122</f>
        <v>74125</v>
      </c>
      <c r="J252" s="1" t="s">
        <v>386</v>
      </c>
    </row>
    <row r="253" spans="1:10" ht="48">
      <c r="A253" s="1">
        <v>2023</v>
      </c>
      <c r="B253" s="1" t="s">
        <v>9</v>
      </c>
      <c r="C253" s="1" t="s">
        <v>179</v>
      </c>
      <c r="D253" s="1" t="s">
        <v>468</v>
      </c>
      <c r="E253" s="1" t="s">
        <v>501</v>
      </c>
      <c r="F253" s="1" t="s">
        <v>502</v>
      </c>
      <c r="G253" s="11">
        <v>180351</v>
      </c>
      <c r="H253" s="11">
        <f>191858+191858+191856</f>
        <v>575572</v>
      </c>
      <c r="I253" s="11">
        <f>35650+30168+21032</f>
        <v>86850</v>
      </c>
      <c r="J253" s="1" t="s">
        <v>386</v>
      </c>
    </row>
    <row r="254" spans="1:10" ht="36">
      <c r="A254" s="1">
        <v>2023</v>
      </c>
      <c r="B254" s="1" t="s">
        <v>9</v>
      </c>
      <c r="C254" s="1" t="s">
        <v>179</v>
      </c>
      <c r="D254" s="1" t="s">
        <v>468</v>
      </c>
      <c r="E254" s="1" t="s">
        <v>503</v>
      </c>
      <c r="F254" s="1" t="s">
        <v>504</v>
      </c>
      <c r="G254" s="11">
        <v>180351</v>
      </c>
      <c r="H254" s="11">
        <f>73824+73824+73825</f>
        <v>221473</v>
      </c>
      <c r="I254" s="11">
        <f>1+1+1</f>
        <v>3</v>
      </c>
      <c r="J254" s="1" t="s">
        <v>386</v>
      </c>
    </row>
    <row r="255" spans="1:10" ht="36">
      <c r="A255" s="1">
        <v>2023</v>
      </c>
      <c r="B255" s="1" t="s">
        <v>9</v>
      </c>
      <c r="C255" s="1" t="s">
        <v>10</v>
      </c>
      <c r="D255" s="1" t="s">
        <v>505</v>
      </c>
      <c r="E255" s="1" t="s">
        <v>506</v>
      </c>
      <c r="F255" s="1" t="s">
        <v>507</v>
      </c>
      <c r="G255" s="2">
        <v>0</v>
      </c>
      <c r="H255" s="3">
        <f t="shared" ref="H255:H256" si="111">0%+0%+100%</f>
        <v>1</v>
      </c>
      <c r="I255" s="3">
        <v>1</v>
      </c>
      <c r="J255" s="1" t="s">
        <v>508</v>
      </c>
    </row>
    <row r="256" spans="1:10" ht="36">
      <c r="A256" s="1">
        <v>2023</v>
      </c>
      <c r="B256" s="1" t="s">
        <v>9</v>
      </c>
      <c r="C256" s="1" t="s">
        <v>10</v>
      </c>
      <c r="D256" s="1" t="s">
        <v>505</v>
      </c>
      <c r="E256" s="1" t="s">
        <v>509</v>
      </c>
      <c r="F256" s="1" t="s">
        <v>510</v>
      </c>
      <c r="G256" s="2">
        <v>0</v>
      </c>
      <c r="H256" s="3">
        <f t="shared" si="111"/>
        <v>1</v>
      </c>
      <c r="I256" s="3">
        <f>100%</f>
        <v>1</v>
      </c>
      <c r="J256" s="1" t="s">
        <v>508</v>
      </c>
    </row>
    <row r="257" spans="1:10" ht="48">
      <c r="A257" s="1">
        <v>2023</v>
      </c>
      <c r="B257" s="1" t="s">
        <v>9</v>
      </c>
      <c r="C257" s="1" t="s">
        <v>10</v>
      </c>
      <c r="D257" s="1" t="s">
        <v>505</v>
      </c>
      <c r="E257" s="1" t="s">
        <v>511</v>
      </c>
      <c r="F257" s="1" t="s">
        <v>512</v>
      </c>
      <c r="G257" s="2">
        <v>1968</v>
      </c>
      <c r="H257" s="2">
        <f>196+181+171</f>
        <v>548</v>
      </c>
      <c r="I257" s="2">
        <f>946+1031+690</f>
        <v>2667</v>
      </c>
      <c r="J257" s="1" t="s">
        <v>508</v>
      </c>
    </row>
    <row r="258" spans="1:10" ht="36">
      <c r="A258" s="1">
        <v>2023</v>
      </c>
      <c r="B258" s="1" t="s">
        <v>9</v>
      </c>
      <c r="C258" s="1" t="s">
        <v>10</v>
      </c>
      <c r="D258" s="1" t="s">
        <v>505</v>
      </c>
      <c r="E258" s="1" t="s">
        <v>513</v>
      </c>
      <c r="F258" s="1" t="s">
        <v>514</v>
      </c>
      <c r="G258" s="2">
        <v>0</v>
      </c>
      <c r="H258" s="2">
        <f>135+135+130</f>
        <v>400</v>
      </c>
      <c r="I258" s="2">
        <f>154+296+174</f>
        <v>624</v>
      </c>
      <c r="J258" s="1" t="s">
        <v>508</v>
      </c>
    </row>
    <row r="259" spans="1:10" ht="24">
      <c r="A259" s="1">
        <v>2023</v>
      </c>
      <c r="B259" s="1" t="s">
        <v>9</v>
      </c>
      <c r="C259" s="1" t="s">
        <v>10</v>
      </c>
      <c r="D259" s="1" t="s">
        <v>505</v>
      </c>
      <c r="E259" s="1" t="s">
        <v>515</v>
      </c>
      <c r="F259" s="1" t="s">
        <v>516</v>
      </c>
      <c r="G259" s="2">
        <v>492</v>
      </c>
      <c r="H259" s="2">
        <f>196+181+171</f>
        <v>548</v>
      </c>
      <c r="I259" s="2">
        <f>946+1031+690</f>
        <v>2667</v>
      </c>
      <c r="J259" s="1" t="s">
        <v>508</v>
      </c>
    </row>
    <row r="260" spans="1:10" ht="36">
      <c r="A260" s="1">
        <v>2023</v>
      </c>
      <c r="B260" s="1" t="s">
        <v>9</v>
      </c>
      <c r="C260" s="1" t="s">
        <v>10</v>
      </c>
      <c r="D260" s="1" t="s">
        <v>505</v>
      </c>
      <c r="E260" s="1" t="s">
        <v>517</v>
      </c>
      <c r="F260" s="1" t="s">
        <v>518</v>
      </c>
      <c r="G260" s="2">
        <v>0</v>
      </c>
      <c r="H260" s="2">
        <f>135+135+130</f>
        <v>400</v>
      </c>
      <c r="I260" s="2">
        <f>154+296+174</f>
        <v>624</v>
      </c>
      <c r="J260" s="1" t="s">
        <v>508</v>
      </c>
    </row>
    <row r="261" spans="1:10" ht="60">
      <c r="A261" s="1">
        <v>2023</v>
      </c>
      <c r="B261" s="1" t="s">
        <v>9</v>
      </c>
      <c r="C261" s="1" t="s">
        <v>10</v>
      </c>
      <c r="D261" s="1" t="s">
        <v>519</v>
      </c>
      <c r="E261" s="1" t="s">
        <v>520</v>
      </c>
      <c r="F261" s="1" t="s">
        <v>521</v>
      </c>
      <c r="G261" s="2">
        <v>0</v>
      </c>
      <c r="H261" s="3">
        <f t="shared" ref="H261:H262" si="112">0%+0%+100%</f>
        <v>1</v>
      </c>
      <c r="I261" s="3">
        <f t="shared" ref="I261:I262" si="113">100%</f>
        <v>1</v>
      </c>
      <c r="J261" s="1" t="s">
        <v>522</v>
      </c>
    </row>
    <row r="262" spans="1:10" ht="48">
      <c r="A262" s="1">
        <v>2023</v>
      </c>
      <c r="B262" s="1" t="s">
        <v>9</v>
      </c>
      <c r="C262" s="1" t="s">
        <v>10</v>
      </c>
      <c r="D262" s="1" t="s">
        <v>519</v>
      </c>
      <c r="E262" s="1" t="s">
        <v>523</v>
      </c>
      <c r="F262" s="1" t="s">
        <v>524</v>
      </c>
      <c r="G262" s="2">
        <v>0</v>
      </c>
      <c r="H262" s="3">
        <f t="shared" si="112"/>
        <v>1</v>
      </c>
      <c r="I262" s="3">
        <f t="shared" si="113"/>
        <v>1</v>
      </c>
      <c r="J262" s="1" t="s">
        <v>522</v>
      </c>
    </row>
    <row r="263" spans="1:10" ht="60">
      <c r="A263" s="1">
        <v>2023</v>
      </c>
      <c r="B263" s="1" t="s">
        <v>9</v>
      </c>
      <c r="C263" s="1" t="s">
        <v>10</v>
      </c>
      <c r="D263" s="1" t="s">
        <v>519</v>
      </c>
      <c r="E263" s="1" t="s">
        <v>525</v>
      </c>
      <c r="F263" s="1" t="s">
        <v>526</v>
      </c>
      <c r="G263" s="3">
        <v>1</v>
      </c>
      <c r="H263" s="4">
        <f t="shared" ref="H263:H264" si="114">8.33%+8.33%+8.33%</f>
        <v>0.24990000000000001</v>
      </c>
      <c r="I263" s="4">
        <f>16.67%+16.67%+10%</f>
        <v>0.43340000000000001</v>
      </c>
      <c r="J263" s="1" t="s">
        <v>522</v>
      </c>
    </row>
    <row r="264" spans="1:10" ht="36">
      <c r="A264" s="1">
        <v>2023</v>
      </c>
      <c r="B264" s="1" t="s">
        <v>9</v>
      </c>
      <c r="C264" s="1" t="s">
        <v>10</v>
      </c>
      <c r="D264" s="1" t="s">
        <v>519</v>
      </c>
      <c r="E264" s="1" t="s">
        <v>527</v>
      </c>
      <c r="F264" s="1" t="s">
        <v>528</v>
      </c>
      <c r="G264" s="3">
        <v>1</v>
      </c>
      <c r="H264" s="4">
        <f t="shared" si="114"/>
        <v>0.24990000000000001</v>
      </c>
      <c r="I264" s="3">
        <f>20%+4%+1%</f>
        <v>0.25</v>
      </c>
      <c r="J264" s="1" t="s">
        <v>522</v>
      </c>
    </row>
    <row r="265" spans="1:10" ht="24">
      <c r="A265" s="1">
        <v>2023</v>
      </c>
      <c r="B265" s="1" t="s">
        <v>9</v>
      </c>
      <c r="C265" s="1" t="s">
        <v>10</v>
      </c>
      <c r="D265" s="1" t="s">
        <v>519</v>
      </c>
      <c r="E265" s="1" t="s">
        <v>529</v>
      </c>
      <c r="F265" s="1" t="s">
        <v>530</v>
      </c>
      <c r="G265" s="11">
        <v>240</v>
      </c>
      <c r="H265" s="11">
        <f>80+80+80</f>
        <v>240</v>
      </c>
      <c r="I265" s="11">
        <f>160+160+60</f>
        <v>380</v>
      </c>
      <c r="J265" s="1" t="s">
        <v>522</v>
      </c>
    </row>
    <row r="266" spans="1:10" ht="24">
      <c r="A266" s="1">
        <v>2023</v>
      </c>
      <c r="B266" s="1" t="s">
        <v>9</v>
      </c>
      <c r="C266" s="1" t="s">
        <v>10</v>
      </c>
      <c r="D266" s="1" t="s">
        <v>519</v>
      </c>
      <c r="E266" s="1" t="s">
        <v>531</v>
      </c>
      <c r="F266" s="1" t="s">
        <v>532</v>
      </c>
      <c r="G266" s="11">
        <v>600</v>
      </c>
      <c r="H266" s="11">
        <f>200+200+200</f>
        <v>600</v>
      </c>
      <c r="I266" s="11">
        <f>478+97+30</f>
        <v>605</v>
      </c>
      <c r="J266" s="1" t="s">
        <v>522</v>
      </c>
    </row>
    <row r="267" spans="1:10" ht="36">
      <c r="A267" s="1">
        <v>2023</v>
      </c>
      <c r="B267" s="1" t="s">
        <v>9</v>
      </c>
      <c r="C267" s="1" t="s">
        <v>10</v>
      </c>
      <c r="D267" s="1" t="s">
        <v>533</v>
      </c>
      <c r="E267" s="1" t="s">
        <v>534</v>
      </c>
      <c r="F267" s="1" t="s">
        <v>535</v>
      </c>
      <c r="G267" s="2">
        <v>0</v>
      </c>
      <c r="H267" s="3">
        <f t="shared" ref="H267:H268" si="115">0%+0%+100%</f>
        <v>1</v>
      </c>
      <c r="I267" s="3">
        <f t="shared" ref="I267:I268" si="116">100%</f>
        <v>1</v>
      </c>
      <c r="J267" s="1" t="s">
        <v>522</v>
      </c>
    </row>
    <row r="268" spans="1:10" ht="36">
      <c r="A268" s="1">
        <v>2023</v>
      </c>
      <c r="B268" s="1" t="s">
        <v>9</v>
      </c>
      <c r="C268" s="1" t="s">
        <v>10</v>
      </c>
      <c r="D268" s="1" t="s">
        <v>533</v>
      </c>
      <c r="E268" s="1" t="s">
        <v>536</v>
      </c>
      <c r="F268" s="1" t="s">
        <v>537</v>
      </c>
      <c r="G268" s="2">
        <v>0</v>
      </c>
      <c r="H268" s="3">
        <f t="shared" si="115"/>
        <v>1</v>
      </c>
      <c r="I268" s="3">
        <f t="shared" si="116"/>
        <v>1</v>
      </c>
      <c r="J268" s="1" t="s">
        <v>522</v>
      </c>
    </row>
    <row r="269" spans="1:10" ht="36">
      <c r="A269" s="1">
        <v>2023</v>
      </c>
      <c r="B269" s="1" t="s">
        <v>9</v>
      </c>
      <c r="C269" s="1" t="s">
        <v>10</v>
      </c>
      <c r="D269" s="1" t="s">
        <v>533</v>
      </c>
      <c r="E269" s="1" t="s">
        <v>538</v>
      </c>
      <c r="F269" s="1" t="s">
        <v>539</v>
      </c>
      <c r="G269" s="2">
        <v>9131</v>
      </c>
      <c r="H269" s="2">
        <f>800+800+650</f>
        <v>2250</v>
      </c>
      <c r="I269" s="2">
        <f>2717+2658+2668</f>
        <v>8043</v>
      </c>
      <c r="J269" s="1" t="s">
        <v>522</v>
      </c>
    </row>
    <row r="270" spans="1:10" ht="24">
      <c r="A270" s="1">
        <v>2023</v>
      </c>
      <c r="B270" s="1" t="s">
        <v>9</v>
      </c>
      <c r="C270" s="1" t="s">
        <v>10</v>
      </c>
      <c r="D270" s="1" t="s">
        <v>533</v>
      </c>
      <c r="E270" s="1" t="s">
        <v>541</v>
      </c>
      <c r="F270" s="1" t="s">
        <v>540</v>
      </c>
      <c r="G270" s="2">
        <v>6812</v>
      </c>
      <c r="H270" s="2">
        <f>578+572+566</f>
        <v>1716</v>
      </c>
      <c r="I270" s="2">
        <f>550+542+553</f>
        <v>1645</v>
      </c>
      <c r="J270" s="1" t="s">
        <v>522</v>
      </c>
    </row>
    <row r="271" spans="1:10" ht="36">
      <c r="A271" s="1">
        <v>2023</v>
      </c>
      <c r="B271" s="1" t="s">
        <v>9</v>
      </c>
      <c r="C271" s="1" t="s">
        <v>10</v>
      </c>
      <c r="D271" s="1" t="s">
        <v>533</v>
      </c>
      <c r="E271" s="1" t="s">
        <v>542</v>
      </c>
      <c r="F271" s="1" t="s">
        <v>543</v>
      </c>
      <c r="G271" s="2">
        <v>132</v>
      </c>
      <c r="H271" s="2">
        <f>11+11+11</f>
        <v>33</v>
      </c>
      <c r="I271" s="2">
        <f>11+10+20</f>
        <v>41</v>
      </c>
      <c r="J271" s="1" t="s">
        <v>522</v>
      </c>
    </row>
    <row r="272" spans="1:10" ht="24">
      <c r="A272" s="1">
        <v>2023</v>
      </c>
      <c r="B272" s="1" t="s">
        <v>9</v>
      </c>
      <c r="C272" s="1" t="s">
        <v>10</v>
      </c>
      <c r="D272" s="1" t="s">
        <v>533</v>
      </c>
      <c r="E272" s="1" t="s">
        <v>544</v>
      </c>
      <c r="F272" s="1" t="s">
        <v>545</v>
      </c>
      <c r="G272" s="2">
        <v>2283</v>
      </c>
      <c r="H272" s="2">
        <f>800+800+650</f>
        <v>2250</v>
      </c>
      <c r="I272" s="2">
        <f>2717+2628+2668</f>
        <v>8013</v>
      </c>
      <c r="J272" s="1" t="s">
        <v>522</v>
      </c>
    </row>
    <row r="273" spans="1:10" ht="24">
      <c r="A273" s="1">
        <v>2023</v>
      </c>
      <c r="B273" s="1" t="s">
        <v>9</v>
      </c>
      <c r="C273" s="1" t="s">
        <v>10</v>
      </c>
      <c r="D273" s="1" t="s">
        <v>533</v>
      </c>
      <c r="E273" s="1" t="s">
        <v>546</v>
      </c>
      <c r="F273" s="1" t="s">
        <v>540</v>
      </c>
      <c r="G273" s="2">
        <v>1703</v>
      </c>
      <c r="H273" s="2">
        <f>578+572+566</f>
        <v>1716</v>
      </c>
      <c r="I273" s="2">
        <f>550+542+553</f>
        <v>1645</v>
      </c>
      <c r="J273" s="1" t="s">
        <v>522</v>
      </c>
    </row>
    <row r="274" spans="1:10" ht="24">
      <c r="A274" s="1">
        <v>2023</v>
      </c>
      <c r="B274" s="1" t="s">
        <v>9</v>
      </c>
      <c r="C274" s="1" t="s">
        <v>10</v>
      </c>
      <c r="D274" s="1" t="s">
        <v>533</v>
      </c>
      <c r="E274" s="1" t="s">
        <v>546</v>
      </c>
      <c r="F274" s="1" t="s">
        <v>547</v>
      </c>
      <c r="G274" s="2">
        <v>33</v>
      </c>
      <c r="H274" s="2">
        <f>11+11+11</f>
        <v>33</v>
      </c>
      <c r="I274" s="2">
        <f>11+10+20</f>
        <v>41</v>
      </c>
      <c r="J274" s="1" t="s">
        <v>522</v>
      </c>
    </row>
    <row r="275" spans="1:10" ht="36">
      <c r="A275" s="1">
        <v>2023</v>
      </c>
      <c r="B275" s="1" t="s">
        <v>9</v>
      </c>
      <c r="C275" s="1" t="s">
        <v>10</v>
      </c>
      <c r="D275" s="1" t="s">
        <v>548</v>
      </c>
      <c r="E275" s="1" t="s">
        <v>549</v>
      </c>
      <c r="F275" s="1" t="s">
        <v>320</v>
      </c>
      <c r="G275" s="2">
        <v>0</v>
      </c>
      <c r="H275" s="3">
        <f t="shared" ref="H275:I275" si="117">0%+0%+100%</f>
        <v>1</v>
      </c>
      <c r="I275" s="3">
        <f t="shared" si="117"/>
        <v>1</v>
      </c>
      <c r="J275" s="1" t="s">
        <v>522</v>
      </c>
    </row>
    <row r="276" spans="1:10" ht="48">
      <c r="A276" s="1">
        <v>2023</v>
      </c>
      <c r="B276" s="1" t="s">
        <v>9</v>
      </c>
      <c r="C276" s="1" t="s">
        <v>10</v>
      </c>
      <c r="D276" s="1" t="s">
        <v>548</v>
      </c>
      <c r="E276" s="1" t="s">
        <v>550</v>
      </c>
      <c r="F276" s="1" t="s">
        <v>551</v>
      </c>
      <c r="G276" s="2">
        <v>0</v>
      </c>
      <c r="H276" s="3">
        <f t="shared" ref="H276:I276" si="118">0%+0%+100%</f>
        <v>1</v>
      </c>
      <c r="I276" s="3">
        <f t="shared" si="118"/>
        <v>1</v>
      </c>
      <c r="J276" s="1" t="s">
        <v>522</v>
      </c>
    </row>
    <row r="277" spans="1:10" ht="48">
      <c r="A277" s="1">
        <v>2023</v>
      </c>
      <c r="B277" s="1" t="s">
        <v>9</v>
      </c>
      <c r="C277" s="1" t="s">
        <v>10</v>
      </c>
      <c r="D277" s="1" t="s">
        <v>548</v>
      </c>
      <c r="E277" s="1" t="s">
        <v>552</v>
      </c>
      <c r="F277" s="1" t="s">
        <v>551</v>
      </c>
      <c r="G277" s="3">
        <v>1</v>
      </c>
      <c r="H277" s="3">
        <f>8.33%+8.34%+8.33%</f>
        <v>0.25</v>
      </c>
      <c r="I277" s="3">
        <f>8.34%+10.11%+8.55%</f>
        <v>0.27</v>
      </c>
      <c r="J277" s="1" t="s">
        <v>522</v>
      </c>
    </row>
    <row r="278" spans="1:10" ht="48">
      <c r="A278" s="1">
        <v>2023</v>
      </c>
      <c r="B278" s="1" t="s">
        <v>9</v>
      </c>
      <c r="C278" s="1" t="s">
        <v>10</v>
      </c>
      <c r="D278" s="1" t="s">
        <v>548</v>
      </c>
      <c r="E278" s="1" t="s">
        <v>553</v>
      </c>
      <c r="F278" s="1" t="s">
        <v>554</v>
      </c>
      <c r="G278" s="3">
        <v>1</v>
      </c>
      <c r="H278" s="3">
        <f>8.33%+8.34%+8.36%</f>
        <v>0.25030000000000002</v>
      </c>
      <c r="I278" s="4">
        <f>9.1%+8.77%+7.16%</f>
        <v>0.25029999999999997</v>
      </c>
      <c r="J278" s="1" t="s">
        <v>522</v>
      </c>
    </row>
    <row r="279" spans="1:10" ht="60">
      <c r="A279" s="1">
        <v>2023</v>
      </c>
      <c r="B279" s="1" t="s">
        <v>9</v>
      </c>
      <c r="C279" s="1" t="s">
        <v>10</v>
      </c>
      <c r="D279" s="1" t="s">
        <v>548</v>
      </c>
      <c r="E279" s="1" t="s">
        <v>555</v>
      </c>
      <c r="F279" s="1" t="s">
        <v>556</v>
      </c>
      <c r="G279" s="4">
        <v>0.25</v>
      </c>
      <c r="H279" s="14">
        <f t="shared" ref="H279:H280" si="119">59.09+59.09+36.36</f>
        <v>154.54000000000002</v>
      </c>
      <c r="I279" s="11">
        <f t="shared" ref="I279:I280" si="120">59.09+59.09+36.37</f>
        <v>154.55000000000001</v>
      </c>
      <c r="J279" s="1" t="s">
        <v>522</v>
      </c>
    </row>
    <row r="280" spans="1:10" ht="36">
      <c r="A280" s="1">
        <v>2023</v>
      </c>
      <c r="B280" s="1" t="s">
        <v>9</v>
      </c>
      <c r="C280" s="1" t="s">
        <v>10</v>
      </c>
      <c r="D280" s="1" t="s">
        <v>548</v>
      </c>
      <c r="E280" s="1" t="s">
        <v>557</v>
      </c>
      <c r="F280" s="1" t="s">
        <v>558</v>
      </c>
      <c r="G280" s="4">
        <v>0.25</v>
      </c>
      <c r="H280" s="14">
        <f t="shared" si="119"/>
        <v>154.54000000000002</v>
      </c>
      <c r="I280" s="11">
        <f t="shared" si="120"/>
        <v>154.55000000000001</v>
      </c>
      <c r="J280" s="1" t="s">
        <v>522</v>
      </c>
    </row>
    <row r="281" spans="1:10" ht="72">
      <c r="A281" s="1" t="s">
        <v>559</v>
      </c>
      <c r="B281" s="1" t="s">
        <v>9</v>
      </c>
      <c r="C281" s="15" t="s">
        <v>10</v>
      </c>
      <c r="D281" s="15" t="s">
        <v>548</v>
      </c>
      <c r="E281" s="15" t="s">
        <v>531</v>
      </c>
      <c r="F281" s="15" t="s">
        <v>532</v>
      </c>
      <c r="G281" s="16">
        <v>325</v>
      </c>
      <c r="H281" s="16">
        <f>150+100+100</f>
        <v>350</v>
      </c>
      <c r="I281" s="16">
        <f>150+150+50</f>
        <v>350</v>
      </c>
      <c r="J281" s="15" t="s">
        <v>522</v>
      </c>
    </row>
    <row r="282" spans="1:10" ht="36">
      <c r="A282" s="1">
        <v>2023</v>
      </c>
      <c r="B282" s="1" t="s">
        <v>9</v>
      </c>
      <c r="C282" s="1" t="s">
        <v>10</v>
      </c>
      <c r="D282" s="1" t="s">
        <v>560</v>
      </c>
      <c r="E282" s="1" t="s">
        <v>561</v>
      </c>
      <c r="F282" s="1" t="s">
        <v>562</v>
      </c>
      <c r="G282" s="2">
        <v>0</v>
      </c>
      <c r="H282" s="3">
        <f t="shared" ref="H282:H283" si="121">0%+0%+100%</f>
        <v>1</v>
      </c>
      <c r="I282" s="3">
        <f t="shared" ref="I282:I283" si="122">100%</f>
        <v>1</v>
      </c>
      <c r="J282" s="1" t="s">
        <v>563</v>
      </c>
    </row>
    <row r="283" spans="1:10" ht="36">
      <c r="A283" s="1">
        <v>2023</v>
      </c>
      <c r="B283" s="1" t="s">
        <v>9</v>
      </c>
      <c r="C283" s="1" t="s">
        <v>10</v>
      </c>
      <c r="D283" s="1" t="s">
        <v>560</v>
      </c>
      <c r="E283" s="1" t="s">
        <v>564</v>
      </c>
      <c r="F283" s="1" t="s">
        <v>565</v>
      </c>
      <c r="G283" s="2">
        <v>0</v>
      </c>
      <c r="H283" s="3">
        <f t="shared" si="121"/>
        <v>1</v>
      </c>
      <c r="I283" s="3">
        <f t="shared" si="122"/>
        <v>1</v>
      </c>
      <c r="J283" s="1" t="s">
        <v>563</v>
      </c>
    </row>
    <row r="284" spans="1:10" ht="36">
      <c r="A284" s="1">
        <v>2023</v>
      </c>
      <c r="B284" s="1" t="s">
        <v>9</v>
      </c>
      <c r="C284" s="1" t="s">
        <v>10</v>
      </c>
      <c r="D284" s="1" t="s">
        <v>560</v>
      </c>
      <c r="E284" s="1" t="s">
        <v>566</v>
      </c>
      <c r="F284" s="1" t="s">
        <v>567</v>
      </c>
      <c r="G284" s="2">
        <v>562</v>
      </c>
      <c r="H284" s="2">
        <f t="shared" ref="H284:I284" si="123">20+66+77</f>
        <v>163</v>
      </c>
      <c r="I284" s="2">
        <f t="shared" si="123"/>
        <v>163</v>
      </c>
      <c r="J284" s="1" t="s">
        <v>563</v>
      </c>
    </row>
    <row r="285" spans="1:10" ht="36">
      <c r="A285" s="1">
        <v>2023</v>
      </c>
      <c r="B285" s="1" t="s">
        <v>9</v>
      </c>
      <c r="C285" s="1" t="s">
        <v>10</v>
      </c>
      <c r="D285" s="1" t="s">
        <v>560</v>
      </c>
      <c r="E285" s="1" t="s">
        <v>568</v>
      </c>
      <c r="F285" s="1" t="s">
        <v>569</v>
      </c>
      <c r="G285" s="3">
        <v>1</v>
      </c>
      <c r="H285" s="4">
        <f t="shared" ref="H285:I285" si="124">8.33%+8.33%+8.33%</f>
        <v>0.24990000000000001</v>
      </c>
      <c r="I285" s="4">
        <f t="shared" si="124"/>
        <v>0.24990000000000001</v>
      </c>
      <c r="J285" s="1" t="s">
        <v>563</v>
      </c>
    </row>
    <row r="286" spans="1:10" ht="36">
      <c r="A286" s="1">
        <v>2023</v>
      </c>
      <c r="B286" s="1" t="s">
        <v>9</v>
      </c>
      <c r="C286" s="1" t="s">
        <v>10</v>
      </c>
      <c r="D286" s="1" t="s">
        <v>560</v>
      </c>
      <c r="E286" s="1" t="s">
        <v>570</v>
      </c>
      <c r="F286" s="1" t="s">
        <v>571</v>
      </c>
      <c r="G286" s="11">
        <v>141</v>
      </c>
      <c r="H286" s="4">
        <f>2.35%+7.76%+9.05%</f>
        <v>0.19159999999999999</v>
      </c>
      <c r="I286" s="11">
        <f t="shared" ref="I286:I287" si="125">0%+0%+0%</f>
        <v>0</v>
      </c>
      <c r="J286" s="1" t="s">
        <v>563</v>
      </c>
    </row>
    <row r="287" spans="1:10" ht="36">
      <c r="A287" s="1">
        <v>2023</v>
      </c>
      <c r="B287" s="1" t="s">
        <v>9</v>
      </c>
      <c r="C287" s="1" t="s">
        <v>10</v>
      </c>
      <c r="D287" s="1" t="s">
        <v>560</v>
      </c>
      <c r="E287" s="1" t="s">
        <v>570</v>
      </c>
      <c r="F287" s="1" t="s">
        <v>572</v>
      </c>
      <c r="G287" s="3">
        <v>0.25</v>
      </c>
      <c r="H287" s="4">
        <f>8.36%+8.33%+8.34%</f>
        <v>0.25029999999999997</v>
      </c>
      <c r="I287" s="11">
        <f t="shared" si="125"/>
        <v>0</v>
      </c>
      <c r="J287" s="1" t="s">
        <v>563</v>
      </c>
    </row>
    <row r="288" spans="1:10" ht="48">
      <c r="A288" s="1">
        <v>2023</v>
      </c>
      <c r="B288" s="1" t="s">
        <v>9</v>
      </c>
      <c r="C288" s="1" t="s">
        <v>10</v>
      </c>
      <c r="D288" s="1" t="s">
        <v>559</v>
      </c>
      <c r="E288" s="1" t="s">
        <v>573</v>
      </c>
      <c r="F288" s="1" t="s">
        <v>574</v>
      </c>
      <c r="G288" s="2">
        <v>0</v>
      </c>
      <c r="H288" s="3">
        <f t="shared" ref="H288:I288" si="126">0%+0%+100%</f>
        <v>1</v>
      </c>
      <c r="I288" s="3">
        <f t="shared" si="126"/>
        <v>1</v>
      </c>
      <c r="J288" s="1" t="s">
        <v>575</v>
      </c>
    </row>
    <row r="289" spans="1:10" ht="24">
      <c r="A289" s="1">
        <v>2023</v>
      </c>
      <c r="B289" s="1" t="s">
        <v>9</v>
      </c>
      <c r="C289" s="1" t="s">
        <v>10</v>
      </c>
      <c r="D289" s="1" t="s">
        <v>559</v>
      </c>
      <c r="E289" s="1" t="s">
        <v>576</v>
      </c>
      <c r="F289" s="1" t="s">
        <v>577</v>
      </c>
      <c r="G289" s="2">
        <v>0</v>
      </c>
      <c r="H289" s="3">
        <f t="shared" ref="H289:I289" si="127">0%+0%+100%</f>
        <v>1</v>
      </c>
      <c r="I289" s="3">
        <f t="shared" si="127"/>
        <v>1</v>
      </c>
      <c r="J289" s="1" t="s">
        <v>575</v>
      </c>
    </row>
    <row r="290" spans="1:10" ht="36">
      <c r="A290" s="1">
        <v>2023</v>
      </c>
      <c r="B290" s="1" t="s">
        <v>9</v>
      </c>
      <c r="C290" s="1" t="s">
        <v>10</v>
      </c>
      <c r="D290" s="1" t="s">
        <v>559</v>
      </c>
      <c r="E290" s="1" t="s">
        <v>578</v>
      </c>
      <c r="F290" s="1" t="s">
        <v>579</v>
      </c>
      <c r="G290" s="3">
        <v>0.59</v>
      </c>
      <c r="H290" s="4">
        <f>11.43%+10.47%+9.52%</f>
        <v>0.31419999999999998</v>
      </c>
      <c r="I290" s="4">
        <f>12.38%+13.81%+11.43%</f>
        <v>0.37620000000000003</v>
      </c>
      <c r="J290" s="1" t="s">
        <v>575</v>
      </c>
    </row>
    <row r="291" spans="1:10" ht="36">
      <c r="A291" s="1">
        <v>2023</v>
      </c>
      <c r="B291" s="1" t="s">
        <v>9</v>
      </c>
      <c r="C291" s="1" t="s">
        <v>10</v>
      </c>
      <c r="D291" s="1" t="s">
        <v>559</v>
      </c>
      <c r="E291" s="1" t="s">
        <v>580</v>
      </c>
      <c r="F291" s="1" t="s">
        <v>581</v>
      </c>
      <c r="G291" s="3">
        <v>0.59</v>
      </c>
      <c r="H291" s="4">
        <f>12.63%+11.59%+5.27%</f>
        <v>0.2949</v>
      </c>
      <c r="I291" s="4">
        <f>16.84%+18.95%+27.37%</f>
        <v>0.63159999999999994</v>
      </c>
      <c r="J291" s="1" t="s">
        <v>575</v>
      </c>
    </row>
    <row r="292" spans="1:10" ht="24">
      <c r="A292" s="1">
        <v>2023</v>
      </c>
      <c r="B292" s="1" t="s">
        <v>9</v>
      </c>
      <c r="C292" s="1" t="s">
        <v>10</v>
      </c>
      <c r="D292" s="1" t="s">
        <v>559</v>
      </c>
      <c r="E292" s="1" t="s">
        <v>582</v>
      </c>
      <c r="F292" s="1" t="s">
        <v>583</v>
      </c>
      <c r="G292" s="3">
        <v>0.44</v>
      </c>
      <c r="H292" s="4">
        <f>12%+13.33%+6.66%</f>
        <v>0.31989999999999996</v>
      </c>
      <c r="I292" s="4">
        <f>22%+18%+10%</f>
        <v>0.5</v>
      </c>
      <c r="J292" s="1" t="s">
        <v>575</v>
      </c>
    </row>
    <row r="293" spans="1:10" ht="48">
      <c r="A293" s="1">
        <v>2023</v>
      </c>
      <c r="B293" s="1" t="s">
        <v>9</v>
      </c>
      <c r="C293" s="1" t="s">
        <v>10</v>
      </c>
      <c r="D293" s="1" t="s">
        <v>559</v>
      </c>
      <c r="E293" s="1" t="s">
        <v>584</v>
      </c>
      <c r="F293" s="1" t="s">
        <v>585</v>
      </c>
      <c r="G293" s="3">
        <v>0</v>
      </c>
      <c r="H293" s="4">
        <f>13.19%+12.09%+5.49%</f>
        <v>0.30769999999999997</v>
      </c>
      <c r="I293" s="4">
        <f>18.68%+17.03%+36.26%</f>
        <v>0.71970000000000001</v>
      </c>
      <c r="J293" s="1" t="s">
        <v>575</v>
      </c>
    </row>
    <row r="294" spans="1:10" ht="24">
      <c r="A294" s="1">
        <v>2023</v>
      </c>
      <c r="B294" s="1" t="s">
        <v>9</v>
      </c>
      <c r="C294" s="1" t="s">
        <v>10</v>
      </c>
      <c r="D294" s="1" t="s">
        <v>559</v>
      </c>
      <c r="E294" s="1" t="s">
        <v>325</v>
      </c>
      <c r="F294" s="1" t="s">
        <v>326</v>
      </c>
      <c r="G294" s="11">
        <v>53</v>
      </c>
      <c r="H294" s="11">
        <f t="shared" ref="H294:H295" si="128">32+32+31</f>
        <v>95</v>
      </c>
      <c r="I294" s="11">
        <f>0+0+0</f>
        <v>0</v>
      </c>
      <c r="J294" s="1" t="s">
        <v>575</v>
      </c>
    </row>
    <row r="295" spans="1:10" ht="36">
      <c r="A295" s="1">
        <v>2023</v>
      </c>
      <c r="B295" s="1" t="s">
        <v>9</v>
      </c>
      <c r="C295" s="1" t="s">
        <v>10</v>
      </c>
      <c r="D295" s="1" t="s">
        <v>559</v>
      </c>
      <c r="E295" s="1" t="s">
        <v>586</v>
      </c>
      <c r="F295" s="1" t="s">
        <v>587</v>
      </c>
      <c r="G295" s="11">
        <v>53</v>
      </c>
      <c r="H295" s="11">
        <f t="shared" si="128"/>
        <v>95</v>
      </c>
      <c r="I295" s="11">
        <f>26+29+24</f>
        <v>79</v>
      </c>
      <c r="J295" s="1" t="s">
        <v>575</v>
      </c>
    </row>
    <row r="296" spans="1:10" ht="36">
      <c r="A296" s="1">
        <v>2023</v>
      </c>
      <c r="B296" s="1" t="s">
        <v>9</v>
      </c>
      <c r="C296" s="1" t="s">
        <v>10</v>
      </c>
      <c r="D296" s="1" t="s">
        <v>559</v>
      </c>
      <c r="E296" s="1" t="s">
        <v>588</v>
      </c>
      <c r="F296" s="1" t="s">
        <v>589</v>
      </c>
      <c r="G296" s="11">
        <v>48</v>
      </c>
      <c r="H296" s="11">
        <f>29+29+29</f>
        <v>87</v>
      </c>
      <c r="I296" s="11">
        <f>32+36+52</f>
        <v>120</v>
      </c>
      <c r="J296" s="1" t="s">
        <v>575</v>
      </c>
    </row>
    <row r="297" spans="1:10" ht="24">
      <c r="A297" s="1">
        <v>2023</v>
      </c>
      <c r="B297" s="1" t="s">
        <v>9</v>
      </c>
      <c r="C297" s="1" t="s">
        <v>10</v>
      </c>
      <c r="D297" s="1" t="s">
        <v>559</v>
      </c>
      <c r="E297" s="1" t="s">
        <v>590</v>
      </c>
      <c r="F297" s="1" t="s">
        <v>591</v>
      </c>
      <c r="G297" s="11">
        <v>38</v>
      </c>
      <c r="H297" s="11">
        <f>23+23+23</f>
        <v>69</v>
      </c>
      <c r="I297" s="11">
        <f>33+27+15</f>
        <v>75</v>
      </c>
      <c r="J297" s="1" t="s">
        <v>575</v>
      </c>
    </row>
    <row r="298" spans="1:10" ht="24">
      <c r="A298" s="1">
        <v>2023</v>
      </c>
      <c r="B298" s="1" t="s">
        <v>9</v>
      </c>
      <c r="C298" s="1" t="s">
        <v>10</v>
      </c>
      <c r="D298" s="1" t="s">
        <v>559</v>
      </c>
      <c r="E298" s="1" t="s">
        <v>592</v>
      </c>
      <c r="F298" s="1" t="s">
        <v>593</v>
      </c>
      <c r="G298" s="11">
        <v>46</v>
      </c>
      <c r="H298" s="11">
        <f>28+28+28</f>
        <v>84</v>
      </c>
      <c r="I298" s="11">
        <f>34+31+66</f>
        <v>131</v>
      </c>
      <c r="J298" s="1" t="s">
        <v>575</v>
      </c>
    </row>
    <row r="299" spans="1:10" ht="48">
      <c r="A299" s="1">
        <v>2023</v>
      </c>
      <c r="B299" s="1" t="s">
        <v>9</v>
      </c>
      <c r="C299" s="1" t="s">
        <v>10</v>
      </c>
      <c r="D299" s="1" t="s">
        <v>594</v>
      </c>
      <c r="E299" s="1" t="s">
        <v>595</v>
      </c>
      <c r="F299" s="1" t="s">
        <v>596</v>
      </c>
      <c r="G299" s="2">
        <v>0</v>
      </c>
      <c r="H299" s="2">
        <f t="shared" ref="H299:I299" si="129">0+0+35744</f>
        <v>35744</v>
      </c>
      <c r="I299" s="2">
        <f t="shared" si="129"/>
        <v>35744</v>
      </c>
      <c r="J299" s="1" t="s">
        <v>597</v>
      </c>
    </row>
    <row r="300" spans="1:10" ht="24">
      <c r="A300" s="1">
        <v>2023</v>
      </c>
      <c r="B300" s="1" t="s">
        <v>9</v>
      </c>
      <c r="C300" s="1" t="s">
        <v>10</v>
      </c>
      <c r="D300" s="1" t="s">
        <v>594</v>
      </c>
      <c r="E300" s="1" t="s">
        <v>598</v>
      </c>
      <c r="F300" s="1" t="s">
        <v>599</v>
      </c>
      <c r="G300" s="2">
        <v>0</v>
      </c>
      <c r="H300" s="2">
        <f t="shared" ref="H300:I300" si="130">0+0+35744</f>
        <v>35744</v>
      </c>
      <c r="I300" s="2">
        <f t="shared" si="130"/>
        <v>35744</v>
      </c>
      <c r="J300" s="1" t="s">
        <v>597</v>
      </c>
    </row>
    <row r="301" spans="1:10" ht="24">
      <c r="A301" s="1">
        <v>2023</v>
      </c>
      <c r="B301" s="1" t="s">
        <v>9</v>
      </c>
      <c r="C301" s="1" t="s">
        <v>10</v>
      </c>
      <c r="D301" s="1" t="s">
        <v>594</v>
      </c>
      <c r="E301" s="1" t="s">
        <v>600</v>
      </c>
      <c r="F301" s="1" t="s">
        <v>601</v>
      </c>
      <c r="G301" s="2">
        <v>138</v>
      </c>
      <c r="H301" s="2">
        <f>50+50+0</f>
        <v>100</v>
      </c>
      <c r="I301" s="2">
        <f>53+58+0</f>
        <v>111</v>
      </c>
      <c r="J301" s="1" t="s">
        <v>597</v>
      </c>
    </row>
    <row r="302" spans="1:10" ht="48">
      <c r="A302" s="1">
        <v>2023</v>
      </c>
      <c r="B302" s="1" t="s">
        <v>9</v>
      </c>
      <c r="C302" s="1" t="s">
        <v>10</v>
      </c>
      <c r="D302" s="1" t="s">
        <v>594</v>
      </c>
      <c r="E302" s="1" t="s">
        <v>602</v>
      </c>
      <c r="F302" s="1" t="s">
        <v>603</v>
      </c>
      <c r="G302" s="2">
        <v>143</v>
      </c>
      <c r="H302" s="2">
        <f>20+15+5</f>
        <v>40</v>
      </c>
      <c r="I302" s="2">
        <f>7+1+0</f>
        <v>8</v>
      </c>
      <c r="J302" s="1" t="s">
        <v>597</v>
      </c>
    </row>
    <row r="303" spans="1:10" ht="24">
      <c r="A303" s="1">
        <v>2023</v>
      </c>
      <c r="B303" s="1" t="s">
        <v>9</v>
      </c>
      <c r="C303" s="1" t="s">
        <v>10</v>
      </c>
      <c r="D303" s="1" t="s">
        <v>594</v>
      </c>
      <c r="E303" s="1" t="s">
        <v>604</v>
      </c>
      <c r="F303" s="1" t="s">
        <v>605</v>
      </c>
      <c r="G303" s="2">
        <v>35463</v>
      </c>
      <c r="H303" s="2">
        <f>3050+3050+3050</f>
        <v>9150</v>
      </c>
      <c r="I303" s="2">
        <f>3191+3185+3197</f>
        <v>9573</v>
      </c>
      <c r="J303" s="1" t="s">
        <v>597</v>
      </c>
    </row>
    <row r="304" spans="1:10" ht="24">
      <c r="A304" s="1">
        <v>2023</v>
      </c>
      <c r="B304" s="1" t="s">
        <v>9</v>
      </c>
      <c r="C304" s="1" t="s">
        <v>10</v>
      </c>
      <c r="D304" s="1" t="s">
        <v>594</v>
      </c>
      <c r="E304" s="1" t="s">
        <v>606</v>
      </c>
      <c r="F304" s="1" t="s">
        <v>607</v>
      </c>
      <c r="G304" s="5">
        <v>35</v>
      </c>
      <c r="H304" s="2">
        <f>50+50+0</f>
        <v>100</v>
      </c>
      <c r="I304" s="2">
        <f>53+58+0</f>
        <v>111</v>
      </c>
      <c r="J304" s="1" t="s">
        <v>597</v>
      </c>
    </row>
    <row r="305" spans="1:10" ht="36">
      <c r="A305" s="1">
        <v>2023</v>
      </c>
      <c r="B305" s="1" t="s">
        <v>9</v>
      </c>
      <c r="C305" s="1" t="s">
        <v>10</v>
      </c>
      <c r="D305" s="1" t="s">
        <v>594</v>
      </c>
      <c r="E305" s="1" t="s">
        <v>608</v>
      </c>
      <c r="F305" s="1" t="s">
        <v>609</v>
      </c>
      <c r="G305" s="5">
        <v>36</v>
      </c>
      <c r="H305" s="2">
        <f>20+15+5</f>
        <v>40</v>
      </c>
      <c r="I305" s="2">
        <f>7+1+0</f>
        <v>8</v>
      </c>
      <c r="J305" s="1" t="s">
        <v>597</v>
      </c>
    </row>
    <row r="306" spans="1:10" ht="36">
      <c r="A306" s="1">
        <v>2023</v>
      </c>
      <c r="B306" s="1" t="s">
        <v>9</v>
      </c>
      <c r="C306" s="1" t="s">
        <v>10</v>
      </c>
      <c r="D306" s="1" t="s">
        <v>594</v>
      </c>
      <c r="E306" s="1" t="s">
        <v>610</v>
      </c>
      <c r="F306" s="1" t="s">
        <v>611</v>
      </c>
      <c r="G306" s="5">
        <v>8866</v>
      </c>
      <c r="H306" s="2">
        <f>3050+3050+3050</f>
        <v>9150</v>
      </c>
      <c r="I306" s="2">
        <f>3191+3185+3197</f>
        <v>9573</v>
      </c>
      <c r="J306" s="1" t="s">
        <v>597</v>
      </c>
    </row>
    <row r="307" spans="1:10" ht="36">
      <c r="A307" s="1">
        <v>2023</v>
      </c>
      <c r="B307" s="1" t="s">
        <v>9</v>
      </c>
      <c r="C307" s="1" t="s">
        <v>10</v>
      </c>
      <c r="D307" s="1" t="s">
        <v>612</v>
      </c>
      <c r="E307" s="1" t="s">
        <v>613</v>
      </c>
      <c r="F307" s="1" t="s">
        <v>614</v>
      </c>
      <c r="G307" s="2">
        <v>0</v>
      </c>
      <c r="H307" s="3">
        <f t="shared" ref="H307:H308" si="131">0+0+100%</f>
        <v>1</v>
      </c>
      <c r="I307" s="3">
        <f>100%</f>
        <v>1</v>
      </c>
      <c r="J307" s="1" t="s">
        <v>612</v>
      </c>
    </row>
    <row r="308" spans="1:10" ht="36">
      <c r="A308" s="1">
        <v>2023</v>
      </c>
      <c r="B308" s="1" t="s">
        <v>9</v>
      </c>
      <c r="C308" s="1" t="s">
        <v>10</v>
      </c>
      <c r="D308" s="1" t="s">
        <v>612</v>
      </c>
      <c r="E308" s="1" t="s">
        <v>615</v>
      </c>
      <c r="F308" s="1" t="s">
        <v>616</v>
      </c>
      <c r="G308" s="2">
        <v>0</v>
      </c>
      <c r="H308" s="3">
        <f t="shared" si="131"/>
        <v>1</v>
      </c>
      <c r="I308" s="3">
        <f>0+0+100%</f>
        <v>1</v>
      </c>
      <c r="J308" s="1" t="s">
        <v>612</v>
      </c>
    </row>
    <row r="309" spans="1:10" ht="36">
      <c r="A309" s="1">
        <v>2023</v>
      </c>
      <c r="B309" s="1" t="s">
        <v>9</v>
      </c>
      <c r="C309" s="1" t="s">
        <v>10</v>
      </c>
      <c r="D309" s="1" t="s">
        <v>612</v>
      </c>
      <c r="E309" s="1" t="s">
        <v>617</v>
      </c>
      <c r="F309" s="1" t="s">
        <v>618</v>
      </c>
      <c r="G309" s="2">
        <v>13305</v>
      </c>
      <c r="H309" s="2">
        <f>1000+1000+1050</f>
        <v>3050</v>
      </c>
      <c r="I309" s="2">
        <f>904+829+0</f>
        <v>1733</v>
      </c>
      <c r="J309" s="1" t="s">
        <v>612</v>
      </c>
    </row>
    <row r="310" spans="1:10" ht="36">
      <c r="A310" s="1">
        <v>2023</v>
      </c>
      <c r="B310" s="1" t="s">
        <v>9</v>
      </c>
      <c r="C310" s="1" t="s">
        <v>10</v>
      </c>
      <c r="D310" s="1" t="s">
        <v>612</v>
      </c>
      <c r="E310" s="1" t="s">
        <v>619</v>
      </c>
      <c r="F310" s="1" t="s">
        <v>620</v>
      </c>
      <c r="G310" s="2">
        <v>38</v>
      </c>
      <c r="H310" s="2">
        <f>12+4+0</f>
        <v>16</v>
      </c>
      <c r="I310" s="2">
        <f>5+13+0</f>
        <v>18</v>
      </c>
      <c r="J310" s="1" t="s">
        <v>612</v>
      </c>
    </row>
    <row r="311" spans="1:10" ht="36">
      <c r="A311" s="1">
        <v>2023</v>
      </c>
      <c r="B311" s="1" t="s">
        <v>9</v>
      </c>
      <c r="C311" s="1" t="s">
        <v>10</v>
      </c>
      <c r="D311" s="1" t="s">
        <v>612</v>
      </c>
      <c r="E311" s="1" t="s">
        <v>621</v>
      </c>
      <c r="F311" s="1" t="s">
        <v>622</v>
      </c>
      <c r="G311" s="2">
        <v>3326</v>
      </c>
      <c r="H311" s="2">
        <f>1000+1000+1050</f>
        <v>3050</v>
      </c>
      <c r="I311" s="2">
        <f>904+829+0</f>
        <v>1733</v>
      </c>
      <c r="J311" s="1" t="s">
        <v>612</v>
      </c>
    </row>
    <row r="312" spans="1:10" ht="48">
      <c r="A312" s="1">
        <v>2023</v>
      </c>
      <c r="B312" s="1" t="s">
        <v>9</v>
      </c>
      <c r="C312" s="1" t="s">
        <v>10</v>
      </c>
      <c r="D312" s="1" t="s">
        <v>612</v>
      </c>
      <c r="E312" s="1" t="s">
        <v>623</v>
      </c>
      <c r="F312" s="1" t="s">
        <v>624</v>
      </c>
      <c r="G312" s="2">
        <v>10</v>
      </c>
      <c r="H312" s="2">
        <f>12+4+0</f>
        <v>16</v>
      </c>
      <c r="I312" s="2">
        <f>5+13+0</f>
        <v>18</v>
      </c>
      <c r="J312" s="1" t="s">
        <v>612</v>
      </c>
    </row>
    <row r="313" spans="1:10" ht="48">
      <c r="A313" s="1">
        <v>2023</v>
      </c>
      <c r="B313" s="1" t="s">
        <v>9</v>
      </c>
      <c r="C313" s="1" t="s">
        <v>10</v>
      </c>
      <c r="D313" s="1" t="s">
        <v>625</v>
      </c>
      <c r="E313" s="1" t="s">
        <v>626</v>
      </c>
      <c r="F313" s="1" t="s">
        <v>627</v>
      </c>
      <c r="G313" s="2">
        <v>0</v>
      </c>
      <c r="H313" s="3">
        <f t="shared" ref="H313:I313" si="132">0+0+100%</f>
        <v>1</v>
      </c>
      <c r="I313" s="3">
        <f t="shared" si="132"/>
        <v>1</v>
      </c>
      <c r="J313" s="1" t="s">
        <v>625</v>
      </c>
    </row>
    <row r="314" spans="1:10" ht="48">
      <c r="A314" s="1">
        <v>2023</v>
      </c>
      <c r="B314" s="1" t="s">
        <v>9</v>
      </c>
      <c r="C314" s="1" t="s">
        <v>10</v>
      </c>
      <c r="D314" s="1" t="s">
        <v>625</v>
      </c>
      <c r="E314" s="1" t="s">
        <v>628</v>
      </c>
      <c r="F314" s="1" t="s">
        <v>629</v>
      </c>
      <c r="G314" s="2">
        <v>0</v>
      </c>
      <c r="H314" s="3">
        <f t="shared" ref="H314:I314" si="133">0+0+100%</f>
        <v>1</v>
      </c>
      <c r="I314" s="3">
        <f t="shared" si="133"/>
        <v>1</v>
      </c>
      <c r="J314" s="1" t="s">
        <v>625</v>
      </c>
    </row>
    <row r="315" spans="1:10" ht="24">
      <c r="A315" s="1">
        <v>2023</v>
      </c>
      <c r="B315" s="1" t="s">
        <v>9</v>
      </c>
      <c r="C315" s="1" t="s">
        <v>10</v>
      </c>
      <c r="D315" s="1" t="s">
        <v>625</v>
      </c>
      <c r="E315" s="1" t="s">
        <v>630</v>
      </c>
      <c r="F315" s="1" t="s">
        <v>631</v>
      </c>
      <c r="G315" s="2">
        <v>58</v>
      </c>
      <c r="H315" s="2">
        <f>2+2+3</f>
        <v>7</v>
      </c>
      <c r="I315" s="2">
        <f>4+1+0</f>
        <v>5</v>
      </c>
      <c r="J315" s="1" t="s">
        <v>625</v>
      </c>
    </row>
    <row r="316" spans="1:10" ht="24">
      <c r="A316" s="1">
        <v>2023</v>
      </c>
      <c r="B316" s="1" t="s">
        <v>9</v>
      </c>
      <c r="C316" s="1" t="s">
        <v>10</v>
      </c>
      <c r="D316" s="1" t="s">
        <v>625</v>
      </c>
      <c r="E316" s="1" t="s">
        <v>632</v>
      </c>
      <c r="F316" s="1" t="s">
        <v>633</v>
      </c>
      <c r="G316" s="2">
        <v>0</v>
      </c>
      <c r="H316" s="2">
        <f>6+1+0</f>
        <v>7</v>
      </c>
      <c r="I316" s="2">
        <f>3+4+2</f>
        <v>9</v>
      </c>
      <c r="J316" s="1" t="s">
        <v>625</v>
      </c>
    </row>
    <row r="317" spans="1:10" ht="36">
      <c r="A317" s="1">
        <v>2023</v>
      </c>
      <c r="B317" s="1" t="s">
        <v>9</v>
      </c>
      <c r="C317" s="1" t="s">
        <v>10</v>
      </c>
      <c r="D317" s="1" t="s">
        <v>625</v>
      </c>
      <c r="E317" s="1" t="s">
        <v>634</v>
      </c>
      <c r="F317" s="1" t="s">
        <v>635</v>
      </c>
      <c r="G317" s="2">
        <v>15</v>
      </c>
      <c r="H317" s="2">
        <f>2+2+3</f>
        <v>7</v>
      </c>
      <c r="I317" s="2">
        <f>4+1+0</f>
        <v>5</v>
      </c>
      <c r="J317" s="1" t="s">
        <v>625</v>
      </c>
    </row>
    <row r="318" spans="1:10" ht="24">
      <c r="A318" s="1">
        <v>2023</v>
      </c>
      <c r="B318" s="1" t="s">
        <v>9</v>
      </c>
      <c r="C318" s="1" t="s">
        <v>10</v>
      </c>
      <c r="D318" s="1" t="s">
        <v>625</v>
      </c>
      <c r="E318" s="1" t="s">
        <v>637</v>
      </c>
      <c r="F318" s="1" t="s">
        <v>636</v>
      </c>
      <c r="G318" s="2">
        <v>0</v>
      </c>
      <c r="H318" s="2">
        <f>6+1+0</f>
        <v>7</v>
      </c>
      <c r="I318" s="2">
        <f>3+4+2</f>
        <v>9</v>
      </c>
      <c r="J318" s="1" t="s">
        <v>625</v>
      </c>
    </row>
    <row r="319" spans="1:10" ht="36">
      <c r="A319" s="1">
        <v>2023</v>
      </c>
      <c r="B319" s="1" t="s">
        <v>9</v>
      </c>
      <c r="C319" s="1" t="s">
        <v>10</v>
      </c>
      <c r="D319" s="1" t="s">
        <v>638</v>
      </c>
      <c r="E319" s="1" t="s">
        <v>639</v>
      </c>
      <c r="F319" s="1" t="s">
        <v>640</v>
      </c>
      <c r="G319" s="2">
        <v>0</v>
      </c>
      <c r="H319" s="4">
        <v>1</v>
      </c>
      <c r="I319" s="4">
        <v>1</v>
      </c>
      <c r="J319" s="1" t="s">
        <v>641</v>
      </c>
    </row>
    <row r="320" spans="1:10" ht="72">
      <c r="A320" s="1">
        <v>2023</v>
      </c>
      <c r="B320" s="1" t="s">
        <v>9</v>
      </c>
      <c r="C320" s="1" t="s">
        <v>10</v>
      </c>
      <c r="D320" s="1" t="s">
        <v>638</v>
      </c>
      <c r="E320" s="1" t="s">
        <v>642</v>
      </c>
      <c r="F320" s="1" t="s">
        <v>643</v>
      </c>
      <c r="G320" s="2">
        <v>0</v>
      </c>
      <c r="H320" s="4">
        <v>1</v>
      </c>
      <c r="I320" s="4">
        <v>1</v>
      </c>
      <c r="J320" s="1" t="s">
        <v>641</v>
      </c>
    </row>
    <row r="321" spans="1:10" ht="24">
      <c r="A321" s="1">
        <v>2023</v>
      </c>
      <c r="B321" s="1" t="s">
        <v>9</v>
      </c>
      <c r="C321" s="1" t="s">
        <v>10</v>
      </c>
      <c r="D321" s="1" t="s">
        <v>638</v>
      </c>
      <c r="E321" s="1" t="s">
        <v>644</v>
      </c>
      <c r="F321" s="1" t="s">
        <v>645</v>
      </c>
      <c r="G321" s="11">
        <v>36</v>
      </c>
      <c r="H321" s="4">
        <v>0.25</v>
      </c>
      <c r="I321" s="4">
        <v>0.13869999999999999</v>
      </c>
      <c r="J321" s="1" t="s">
        <v>641</v>
      </c>
    </row>
    <row r="322" spans="1:10" ht="36">
      <c r="A322" s="1">
        <v>2023</v>
      </c>
      <c r="B322" s="1" t="s">
        <v>9</v>
      </c>
      <c r="C322" s="1" t="s">
        <v>10</v>
      </c>
      <c r="D322" s="1" t="s">
        <v>638</v>
      </c>
      <c r="E322" s="1" t="s">
        <v>646</v>
      </c>
      <c r="F322" s="1" t="s">
        <v>647</v>
      </c>
      <c r="G322" s="2">
        <v>0</v>
      </c>
      <c r="H322" s="4">
        <v>0.25019999999999998</v>
      </c>
      <c r="I322" s="4">
        <v>0.30549999999999999</v>
      </c>
      <c r="J322" s="1" t="s">
        <v>641</v>
      </c>
    </row>
    <row r="323" spans="1:10" ht="24">
      <c r="A323" s="1">
        <v>2023</v>
      </c>
      <c r="B323" s="1" t="s">
        <v>9</v>
      </c>
      <c r="C323" s="1" t="s">
        <v>10</v>
      </c>
      <c r="D323" s="1" t="s">
        <v>638</v>
      </c>
      <c r="E323" s="1" t="s">
        <v>648</v>
      </c>
      <c r="F323" s="1" t="s">
        <v>649</v>
      </c>
      <c r="G323" s="11">
        <v>36</v>
      </c>
      <c r="H323" s="17" t="s">
        <v>650</v>
      </c>
      <c r="I323" s="14">
        <v>5</v>
      </c>
      <c r="J323" s="1" t="s">
        <v>641</v>
      </c>
    </row>
    <row r="324" spans="1:10" ht="24">
      <c r="A324" s="1">
        <v>2023</v>
      </c>
      <c r="B324" s="1" t="s">
        <v>9</v>
      </c>
      <c r="C324" s="1" t="s">
        <v>10</v>
      </c>
      <c r="D324" s="1" t="s">
        <v>638</v>
      </c>
      <c r="E324" s="1" t="s">
        <v>648</v>
      </c>
      <c r="F324" s="1" t="s">
        <v>649</v>
      </c>
      <c r="G324" s="2">
        <v>0</v>
      </c>
      <c r="H324" s="17" t="s">
        <v>650</v>
      </c>
      <c r="I324" s="14">
        <v>11</v>
      </c>
      <c r="J324" s="1" t="s">
        <v>641</v>
      </c>
    </row>
    <row r="325" spans="1:10" ht="48">
      <c r="A325" s="1">
        <v>2023</v>
      </c>
      <c r="B325" s="1" t="s">
        <v>9</v>
      </c>
      <c r="C325" s="1" t="s">
        <v>10</v>
      </c>
      <c r="D325" s="1" t="s">
        <v>651</v>
      </c>
      <c r="E325" s="1" t="s">
        <v>652</v>
      </c>
      <c r="F325" s="1" t="s">
        <v>653</v>
      </c>
      <c r="G325" s="2">
        <v>0</v>
      </c>
      <c r="H325" s="4">
        <v>1</v>
      </c>
      <c r="I325" s="4">
        <v>1</v>
      </c>
      <c r="J325" s="1" t="s">
        <v>654</v>
      </c>
    </row>
    <row r="326" spans="1:10" ht="96">
      <c r="A326" s="1">
        <v>2023</v>
      </c>
      <c r="B326" s="1" t="s">
        <v>9</v>
      </c>
      <c r="C326" s="1" t="s">
        <v>10</v>
      </c>
      <c r="D326" s="1" t="s">
        <v>651</v>
      </c>
      <c r="E326" s="1" t="s">
        <v>655</v>
      </c>
      <c r="F326" s="1" t="s">
        <v>643</v>
      </c>
      <c r="G326" s="2">
        <v>0</v>
      </c>
      <c r="H326" s="4">
        <v>1</v>
      </c>
      <c r="I326" s="4">
        <v>1</v>
      </c>
      <c r="J326" s="1" t="s">
        <v>654</v>
      </c>
    </row>
    <row r="327" spans="1:10" ht="48">
      <c r="A327" s="1">
        <v>2023</v>
      </c>
      <c r="B327" s="1" t="s">
        <v>9</v>
      </c>
      <c r="C327" s="1" t="s">
        <v>10</v>
      </c>
      <c r="D327" s="1" t="s">
        <v>651</v>
      </c>
      <c r="E327" s="1" t="s">
        <v>38</v>
      </c>
      <c r="F327" s="1" t="s">
        <v>656</v>
      </c>
      <c r="G327" s="3">
        <v>1</v>
      </c>
      <c r="H327" s="4">
        <v>1.5319</v>
      </c>
      <c r="I327" s="4">
        <v>0.57150000000000001</v>
      </c>
      <c r="J327" s="1" t="s">
        <v>654</v>
      </c>
    </row>
    <row r="328" spans="1:10" ht="48">
      <c r="A328" s="1">
        <v>2023</v>
      </c>
      <c r="B328" s="1" t="s">
        <v>9</v>
      </c>
      <c r="C328" s="1" t="s">
        <v>10</v>
      </c>
      <c r="D328" s="1" t="s">
        <v>651</v>
      </c>
      <c r="E328" s="1" t="s">
        <v>657</v>
      </c>
      <c r="F328" s="1" t="s">
        <v>658</v>
      </c>
      <c r="G328" s="3">
        <v>1</v>
      </c>
      <c r="H328" s="4">
        <v>0.2</v>
      </c>
      <c r="I328" s="12">
        <v>0.33339999999999997</v>
      </c>
      <c r="J328" s="1" t="s">
        <v>654</v>
      </c>
    </row>
    <row r="329" spans="1:10" ht="60">
      <c r="A329" s="1">
        <v>2023</v>
      </c>
      <c r="B329" s="1" t="s">
        <v>9</v>
      </c>
      <c r="C329" s="1" t="s">
        <v>10</v>
      </c>
      <c r="D329" s="1" t="s">
        <v>651</v>
      </c>
      <c r="E329" s="1" t="s">
        <v>659</v>
      </c>
      <c r="F329" s="1" t="s">
        <v>660</v>
      </c>
      <c r="G329" s="3">
        <v>1</v>
      </c>
      <c r="H329" s="4">
        <v>0.2</v>
      </c>
      <c r="I329" s="4">
        <v>0.57150000000000001</v>
      </c>
      <c r="J329" s="1" t="s">
        <v>654</v>
      </c>
    </row>
    <row r="330" spans="1:10" ht="48">
      <c r="A330" s="1">
        <v>2023</v>
      </c>
      <c r="B330" s="1" t="s">
        <v>9</v>
      </c>
      <c r="C330" s="1" t="s">
        <v>10</v>
      </c>
      <c r="D330" s="1" t="s">
        <v>651</v>
      </c>
      <c r="E330" s="1" t="s">
        <v>329</v>
      </c>
      <c r="F330" s="1" t="s">
        <v>661</v>
      </c>
      <c r="G330" s="2">
        <v>21</v>
      </c>
      <c r="H330" s="2">
        <v>4</v>
      </c>
      <c r="I330" s="2">
        <v>5</v>
      </c>
      <c r="J330" s="1" t="s">
        <v>654</v>
      </c>
    </row>
    <row r="331" spans="1:10" ht="48">
      <c r="A331" s="1">
        <v>2023</v>
      </c>
      <c r="B331" s="1" t="s">
        <v>9</v>
      </c>
      <c r="C331" s="1" t="s">
        <v>10</v>
      </c>
      <c r="D331" s="1" t="s">
        <v>651</v>
      </c>
      <c r="E331" s="1" t="s">
        <v>662</v>
      </c>
      <c r="F331" s="1" t="s">
        <v>663</v>
      </c>
      <c r="G331" s="2">
        <v>21</v>
      </c>
      <c r="H331" s="2">
        <v>10</v>
      </c>
      <c r="I331" s="2">
        <v>7</v>
      </c>
      <c r="J331" s="1" t="s">
        <v>654</v>
      </c>
    </row>
    <row r="332" spans="1:10" ht="48">
      <c r="A332" s="1">
        <v>2023</v>
      </c>
      <c r="B332" s="1" t="s">
        <v>9</v>
      </c>
      <c r="C332" s="1" t="s">
        <v>10</v>
      </c>
      <c r="D332" s="1" t="s">
        <v>651</v>
      </c>
      <c r="E332" s="1" t="s">
        <v>664</v>
      </c>
      <c r="F332" s="1" t="s">
        <v>665</v>
      </c>
      <c r="G332" s="2">
        <v>21</v>
      </c>
      <c r="H332" s="2">
        <v>5</v>
      </c>
      <c r="I332" s="2">
        <v>3</v>
      </c>
      <c r="J332" s="1" t="s">
        <v>654</v>
      </c>
    </row>
    <row r="333" spans="1:10" ht="48">
      <c r="A333" s="1">
        <v>2023</v>
      </c>
      <c r="B333" s="1" t="s">
        <v>9</v>
      </c>
      <c r="C333" s="1" t="s">
        <v>10</v>
      </c>
      <c r="D333" s="1" t="s">
        <v>651</v>
      </c>
      <c r="E333" s="1" t="s">
        <v>660</v>
      </c>
      <c r="F333" s="1" t="s">
        <v>666</v>
      </c>
      <c r="G333" s="2">
        <v>21</v>
      </c>
      <c r="H333" s="2">
        <v>4</v>
      </c>
      <c r="I333" s="2">
        <v>12</v>
      </c>
      <c r="J333" s="1" t="s">
        <v>654</v>
      </c>
    </row>
    <row r="334" spans="1:10" ht="60">
      <c r="A334" s="1">
        <v>2023</v>
      </c>
      <c r="B334" s="1" t="s">
        <v>9</v>
      </c>
      <c r="C334" s="1" t="s">
        <v>10</v>
      </c>
      <c r="D334" s="1" t="s">
        <v>667</v>
      </c>
      <c r="E334" s="1" t="s">
        <v>668</v>
      </c>
      <c r="F334" s="1" t="s">
        <v>669</v>
      </c>
      <c r="G334" s="2">
        <v>0</v>
      </c>
      <c r="H334" s="4">
        <v>1</v>
      </c>
      <c r="I334" s="4">
        <v>1</v>
      </c>
      <c r="J334" s="1" t="s">
        <v>670</v>
      </c>
    </row>
    <row r="335" spans="1:10" ht="48">
      <c r="A335" s="1">
        <v>2023</v>
      </c>
      <c r="B335" s="1" t="s">
        <v>9</v>
      </c>
      <c r="C335" s="1" t="s">
        <v>10</v>
      </c>
      <c r="D335" s="1" t="s">
        <v>667</v>
      </c>
      <c r="E335" s="1" t="s">
        <v>671</v>
      </c>
      <c r="F335" s="1" t="s">
        <v>672</v>
      </c>
      <c r="G335" s="2">
        <v>0</v>
      </c>
      <c r="H335" s="4">
        <v>1</v>
      </c>
      <c r="I335" s="4">
        <v>1</v>
      </c>
      <c r="J335" s="1" t="s">
        <v>670</v>
      </c>
    </row>
    <row r="336" spans="1:10" ht="36">
      <c r="A336" s="1">
        <v>2023</v>
      </c>
      <c r="B336" s="1" t="s">
        <v>9</v>
      </c>
      <c r="C336" s="1" t="s">
        <v>10</v>
      </c>
      <c r="D336" s="1" t="s">
        <v>667</v>
      </c>
      <c r="E336" s="1" t="s">
        <v>673</v>
      </c>
      <c r="F336" s="1" t="s">
        <v>674</v>
      </c>
      <c r="G336" s="2">
        <v>106</v>
      </c>
      <c r="H336" s="4">
        <v>1</v>
      </c>
      <c r="I336" s="4">
        <v>0.24529999999999999</v>
      </c>
      <c r="J336" s="1" t="s">
        <v>670</v>
      </c>
    </row>
    <row r="337" spans="1:10" ht="36">
      <c r="A337" s="1">
        <v>2023</v>
      </c>
      <c r="B337" s="1" t="s">
        <v>9</v>
      </c>
      <c r="C337" s="1" t="s">
        <v>10</v>
      </c>
      <c r="D337" s="1" t="s">
        <v>667</v>
      </c>
      <c r="E337" s="1" t="s">
        <v>673</v>
      </c>
      <c r="F337" s="1" t="s">
        <v>675</v>
      </c>
      <c r="G337" s="2">
        <v>230</v>
      </c>
      <c r="H337" s="2">
        <v>100</v>
      </c>
      <c r="I337" s="4">
        <v>0.14779999999999999</v>
      </c>
      <c r="J337" s="1" t="s">
        <v>670</v>
      </c>
    </row>
    <row r="338" spans="1:10" ht="36">
      <c r="A338" s="1">
        <v>2023</v>
      </c>
      <c r="B338" s="1" t="s">
        <v>9</v>
      </c>
      <c r="C338" s="1" t="s">
        <v>10</v>
      </c>
      <c r="D338" s="1" t="s">
        <v>667</v>
      </c>
      <c r="E338" s="1" t="s">
        <v>676</v>
      </c>
      <c r="F338" s="1" t="s">
        <v>677</v>
      </c>
      <c r="G338" s="2">
        <v>1</v>
      </c>
      <c r="H338" s="2">
        <v>0</v>
      </c>
      <c r="I338" s="2">
        <v>0</v>
      </c>
      <c r="J338" s="1" t="s">
        <v>670</v>
      </c>
    </row>
    <row r="339" spans="1:10" ht="36">
      <c r="A339" s="1">
        <v>2023</v>
      </c>
      <c r="B339" s="1" t="s">
        <v>9</v>
      </c>
      <c r="C339" s="1" t="s">
        <v>10</v>
      </c>
      <c r="D339" s="1" t="s">
        <v>667</v>
      </c>
      <c r="E339" s="1" t="s">
        <v>678</v>
      </c>
      <c r="F339" s="1" t="s">
        <v>679</v>
      </c>
      <c r="G339" s="2">
        <v>4</v>
      </c>
      <c r="H339" s="2">
        <v>0</v>
      </c>
      <c r="I339" s="2">
        <v>0</v>
      </c>
      <c r="J339" s="1" t="s">
        <v>670</v>
      </c>
    </row>
    <row r="340" spans="1:10" ht="72">
      <c r="A340" s="1">
        <v>2023</v>
      </c>
      <c r="B340" s="1" t="s">
        <v>9</v>
      </c>
      <c r="C340" s="1" t="s">
        <v>10</v>
      </c>
      <c r="D340" s="1" t="s">
        <v>667</v>
      </c>
      <c r="E340" s="1" t="s">
        <v>680</v>
      </c>
      <c r="F340" s="1" t="s">
        <v>681</v>
      </c>
      <c r="G340" s="2">
        <v>5</v>
      </c>
      <c r="H340" s="2">
        <v>8</v>
      </c>
      <c r="I340" s="2">
        <v>6</v>
      </c>
      <c r="J340" s="1" t="s">
        <v>670</v>
      </c>
    </row>
    <row r="341" spans="1:10" ht="48">
      <c r="A341" s="1">
        <v>2023</v>
      </c>
      <c r="B341" s="1" t="s">
        <v>9</v>
      </c>
      <c r="C341" s="1" t="s">
        <v>10</v>
      </c>
      <c r="D341" s="1" t="s">
        <v>667</v>
      </c>
      <c r="E341" s="1" t="s">
        <v>682</v>
      </c>
      <c r="F341" s="1" t="s">
        <v>679</v>
      </c>
      <c r="G341" s="2">
        <v>91</v>
      </c>
      <c r="H341" s="2">
        <v>21</v>
      </c>
      <c r="I341" s="2">
        <v>20</v>
      </c>
      <c r="J341" s="1" t="s">
        <v>670</v>
      </c>
    </row>
    <row r="342" spans="1:10" ht="48">
      <c r="A342" s="1">
        <v>2023</v>
      </c>
      <c r="B342" s="1" t="s">
        <v>9</v>
      </c>
      <c r="C342" s="1" t="s">
        <v>10</v>
      </c>
      <c r="D342" s="1" t="s">
        <v>667</v>
      </c>
      <c r="E342" s="1" t="s">
        <v>683</v>
      </c>
      <c r="F342" s="1" t="s">
        <v>684</v>
      </c>
      <c r="G342" s="2">
        <v>55</v>
      </c>
      <c r="H342" s="2">
        <v>10</v>
      </c>
      <c r="I342" s="2">
        <v>8</v>
      </c>
      <c r="J342" s="1" t="s">
        <v>670</v>
      </c>
    </row>
    <row r="343" spans="1:10" ht="36">
      <c r="A343" s="1">
        <v>2023</v>
      </c>
      <c r="B343" s="1" t="s">
        <v>9</v>
      </c>
      <c r="C343" s="1" t="s">
        <v>10</v>
      </c>
      <c r="D343" s="1" t="s">
        <v>667</v>
      </c>
      <c r="E343" s="1" t="s">
        <v>685</v>
      </c>
      <c r="F343" s="1" t="s">
        <v>686</v>
      </c>
      <c r="G343" s="2">
        <v>24</v>
      </c>
      <c r="H343" s="2">
        <v>40</v>
      </c>
      <c r="I343" s="2">
        <v>23</v>
      </c>
      <c r="J343" s="1" t="s">
        <v>670</v>
      </c>
    </row>
    <row r="344" spans="1:10" ht="36">
      <c r="A344" s="1">
        <v>2023</v>
      </c>
      <c r="B344" s="1" t="s">
        <v>9</v>
      </c>
      <c r="C344" s="1" t="s">
        <v>10</v>
      </c>
      <c r="D344" s="1" t="s">
        <v>667</v>
      </c>
      <c r="E344" s="1" t="s">
        <v>687</v>
      </c>
      <c r="F344" s="1" t="s">
        <v>688</v>
      </c>
      <c r="G344" s="2">
        <v>22</v>
      </c>
      <c r="H344" s="2">
        <v>12</v>
      </c>
      <c r="I344" s="2">
        <v>3</v>
      </c>
      <c r="J344" s="1" t="s">
        <v>670</v>
      </c>
    </row>
    <row r="345" spans="1:10" ht="24">
      <c r="A345" s="1">
        <v>2023</v>
      </c>
      <c r="B345" s="1" t="s">
        <v>9</v>
      </c>
      <c r="C345" s="1" t="s">
        <v>10</v>
      </c>
      <c r="D345" s="1" t="s">
        <v>689</v>
      </c>
      <c r="E345" s="1" t="s">
        <v>690</v>
      </c>
      <c r="F345" s="1" t="s">
        <v>691</v>
      </c>
      <c r="G345" s="2">
        <v>0</v>
      </c>
      <c r="H345" s="4">
        <v>1</v>
      </c>
      <c r="I345" s="4">
        <v>1</v>
      </c>
      <c r="J345" s="1" t="s">
        <v>692</v>
      </c>
    </row>
    <row r="346" spans="1:10" ht="36">
      <c r="A346" s="1">
        <v>2023</v>
      </c>
      <c r="B346" s="1" t="s">
        <v>9</v>
      </c>
      <c r="C346" s="1" t="s">
        <v>10</v>
      </c>
      <c r="D346" s="1" t="s">
        <v>689</v>
      </c>
      <c r="E346" s="1" t="s">
        <v>693</v>
      </c>
      <c r="F346" s="1" t="s">
        <v>691</v>
      </c>
      <c r="G346" s="2">
        <v>0</v>
      </c>
      <c r="H346" s="4">
        <v>1</v>
      </c>
      <c r="I346" s="4">
        <v>1</v>
      </c>
      <c r="J346" s="1" t="s">
        <v>692</v>
      </c>
    </row>
    <row r="347" spans="1:10" ht="36">
      <c r="A347" s="1">
        <v>2023</v>
      </c>
      <c r="B347" s="1" t="s">
        <v>9</v>
      </c>
      <c r="C347" s="1" t="s">
        <v>10</v>
      </c>
      <c r="D347" s="1" t="s">
        <v>689</v>
      </c>
      <c r="E347" s="1" t="s">
        <v>694</v>
      </c>
      <c r="F347" s="1" t="s">
        <v>695</v>
      </c>
      <c r="G347" s="2">
        <v>54</v>
      </c>
      <c r="H347" s="4">
        <v>0.7016</v>
      </c>
      <c r="I347" s="4">
        <v>0.78800000000000003</v>
      </c>
      <c r="J347" s="1" t="s">
        <v>692</v>
      </c>
    </row>
    <row r="348" spans="1:10" ht="36">
      <c r="A348" s="1">
        <v>2023</v>
      </c>
      <c r="B348" s="1" t="s">
        <v>9</v>
      </c>
      <c r="C348" s="1" t="s">
        <v>10</v>
      </c>
      <c r="D348" s="1" t="s">
        <v>689</v>
      </c>
      <c r="E348" s="1" t="s">
        <v>696</v>
      </c>
      <c r="F348" s="1" t="s">
        <v>697</v>
      </c>
      <c r="G348" s="2">
        <v>12</v>
      </c>
      <c r="H348" s="2">
        <v>13</v>
      </c>
      <c r="I348" s="2">
        <v>19</v>
      </c>
      <c r="J348" s="1" t="s">
        <v>692</v>
      </c>
    </row>
    <row r="349" spans="1:10" ht="24">
      <c r="A349" s="1">
        <v>2023</v>
      </c>
      <c r="B349" s="1" t="s">
        <v>9</v>
      </c>
      <c r="C349" s="1" t="s">
        <v>10</v>
      </c>
      <c r="D349" s="1" t="s">
        <v>689</v>
      </c>
      <c r="E349" s="1" t="s">
        <v>698</v>
      </c>
      <c r="F349" s="1" t="s">
        <v>699</v>
      </c>
      <c r="G349" s="2">
        <v>83</v>
      </c>
      <c r="H349" s="2">
        <v>13</v>
      </c>
      <c r="I349" s="2">
        <v>12</v>
      </c>
      <c r="J349" s="1" t="s">
        <v>692</v>
      </c>
    </row>
    <row r="350" spans="1:10" ht="24">
      <c r="A350" s="1">
        <v>2023</v>
      </c>
      <c r="B350" s="1" t="s">
        <v>9</v>
      </c>
      <c r="C350" s="1" t="s">
        <v>10</v>
      </c>
      <c r="D350" s="1" t="s">
        <v>689</v>
      </c>
      <c r="E350" s="1" t="s">
        <v>700</v>
      </c>
      <c r="F350" s="1" t="s">
        <v>701</v>
      </c>
      <c r="G350" s="2">
        <v>21</v>
      </c>
      <c r="H350" s="2">
        <v>91</v>
      </c>
      <c r="I350" s="2">
        <v>49</v>
      </c>
      <c r="J350" s="1" t="s">
        <v>692</v>
      </c>
    </row>
    <row r="351" spans="1:10" ht="60">
      <c r="A351" s="1">
        <v>2023</v>
      </c>
      <c r="B351" s="1" t="s">
        <v>9</v>
      </c>
      <c r="C351" s="1" t="s">
        <v>10</v>
      </c>
      <c r="D351" s="1" t="s">
        <v>689</v>
      </c>
      <c r="E351" s="1" t="s">
        <v>702</v>
      </c>
      <c r="F351" s="1" t="s">
        <v>703</v>
      </c>
      <c r="G351" s="2">
        <v>1</v>
      </c>
      <c r="H351" s="2">
        <v>0</v>
      </c>
      <c r="I351" s="2">
        <v>0</v>
      </c>
      <c r="J351" s="1" t="s">
        <v>692</v>
      </c>
    </row>
    <row r="352" spans="1:10" ht="72">
      <c r="A352" s="1">
        <v>2023</v>
      </c>
      <c r="B352" s="1" t="s">
        <v>9</v>
      </c>
      <c r="C352" s="1" t="s">
        <v>10</v>
      </c>
      <c r="D352" s="1" t="s">
        <v>704</v>
      </c>
      <c r="E352" s="1" t="s">
        <v>705</v>
      </c>
      <c r="F352" s="1" t="s">
        <v>706</v>
      </c>
      <c r="G352" s="2">
        <v>0</v>
      </c>
      <c r="H352" s="4">
        <v>1</v>
      </c>
      <c r="I352" s="4">
        <v>1</v>
      </c>
      <c r="J352" s="1" t="s">
        <v>692</v>
      </c>
    </row>
    <row r="353" spans="1:10" ht="36">
      <c r="A353" s="1">
        <v>2023</v>
      </c>
      <c r="B353" s="1" t="s">
        <v>9</v>
      </c>
      <c r="C353" s="1" t="s">
        <v>10</v>
      </c>
      <c r="D353" s="1" t="s">
        <v>704</v>
      </c>
      <c r="E353" s="1" t="s">
        <v>707</v>
      </c>
      <c r="F353" s="1" t="s">
        <v>708</v>
      </c>
      <c r="G353" s="2">
        <v>0</v>
      </c>
      <c r="H353" s="4">
        <v>1</v>
      </c>
      <c r="I353" s="4">
        <v>1</v>
      </c>
      <c r="J353" s="1" t="s">
        <v>692</v>
      </c>
    </row>
    <row r="354" spans="1:10" ht="36">
      <c r="A354" s="1">
        <v>2023</v>
      </c>
      <c r="B354" s="1" t="s">
        <v>9</v>
      </c>
      <c r="C354" s="1" t="s">
        <v>10</v>
      </c>
      <c r="D354" s="1" t="s">
        <v>704</v>
      </c>
      <c r="E354" s="1" t="s">
        <v>709</v>
      </c>
      <c r="F354" s="1" t="s">
        <v>710</v>
      </c>
      <c r="G354" s="11">
        <v>2554</v>
      </c>
      <c r="H354" s="4">
        <v>0</v>
      </c>
      <c r="I354" s="4">
        <v>4.1700000000000001E-2</v>
      </c>
      <c r="J354" s="1" t="s">
        <v>692</v>
      </c>
    </row>
    <row r="355" spans="1:10" ht="60">
      <c r="A355" s="1">
        <v>2023</v>
      </c>
      <c r="B355" s="1" t="s">
        <v>9</v>
      </c>
      <c r="C355" s="1" t="s">
        <v>10</v>
      </c>
      <c r="D355" s="1" t="s">
        <v>704</v>
      </c>
      <c r="E355" s="1" t="s">
        <v>711</v>
      </c>
      <c r="F355" s="1" t="s">
        <v>712</v>
      </c>
      <c r="G355" s="11">
        <v>2554</v>
      </c>
      <c r="H355" s="4">
        <v>0</v>
      </c>
      <c r="I355" s="4">
        <v>3.8699999999999998E-2</v>
      </c>
      <c r="J355" s="1" t="s">
        <v>692</v>
      </c>
    </row>
    <row r="356" spans="1:10" ht="60">
      <c r="A356" s="1">
        <v>2023</v>
      </c>
      <c r="B356" s="1" t="s">
        <v>9</v>
      </c>
      <c r="C356" s="1" t="s">
        <v>10</v>
      </c>
      <c r="D356" s="1" t="s">
        <v>704</v>
      </c>
      <c r="E356" s="1" t="s">
        <v>713</v>
      </c>
      <c r="F356" s="1" t="s">
        <v>714</v>
      </c>
      <c r="G356" s="2">
        <v>13</v>
      </c>
      <c r="H356" s="2">
        <v>0</v>
      </c>
      <c r="I356" s="2">
        <v>0</v>
      </c>
      <c r="J356" s="1" t="s">
        <v>692</v>
      </c>
    </row>
    <row r="357" spans="1:10" ht="36">
      <c r="A357" s="1">
        <v>2023</v>
      </c>
      <c r="B357" s="1" t="s">
        <v>9</v>
      </c>
      <c r="C357" s="1" t="s">
        <v>10</v>
      </c>
      <c r="D357" s="1" t="s">
        <v>704</v>
      </c>
      <c r="E357" s="1" t="s">
        <v>715</v>
      </c>
      <c r="F357" s="1" t="s">
        <v>716</v>
      </c>
      <c r="G357" s="2">
        <v>0</v>
      </c>
      <c r="H357" s="2">
        <v>0</v>
      </c>
      <c r="I357" s="2">
        <v>0</v>
      </c>
      <c r="J357" s="1" t="s">
        <v>692</v>
      </c>
    </row>
    <row r="358" spans="1:10" ht="48">
      <c r="A358" s="1">
        <v>2023</v>
      </c>
      <c r="B358" s="1" t="s">
        <v>9</v>
      </c>
      <c r="C358" s="1" t="s">
        <v>10</v>
      </c>
      <c r="D358" s="1" t="s">
        <v>704</v>
      </c>
      <c r="E358" s="1" t="s">
        <v>717</v>
      </c>
      <c r="F358" s="1" t="s">
        <v>718</v>
      </c>
      <c r="G358" s="2">
        <v>329</v>
      </c>
      <c r="H358" s="2">
        <v>0</v>
      </c>
      <c r="I358" s="2">
        <v>0</v>
      </c>
      <c r="J358" s="1" t="s">
        <v>692</v>
      </c>
    </row>
    <row r="359" spans="1:10" ht="60">
      <c r="A359" s="1">
        <v>2023</v>
      </c>
      <c r="B359" s="1" t="s">
        <v>9</v>
      </c>
      <c r="C359" s="1" t="s">
        <v>10</v>
      </c>
      <c r="D359" s="1" t="s">
        <v>704</v>
      </c>
      <c r="E359" s="1" t="s">
        <v>719</v>
      </c>
      <c r="F359" s="1" t="s">
        <v>720</v>
      </c>
      <c r="G359" s="2">
        <v>0</v>
      </c>
      <c r="H359" s="2">
        <v>0</v>
      </c>
      <c r="I359" s="2">
        <v>0</v>
      </c>
      <c r="J359" s="1" t="s">
        <v>692</v>
      </c>
    </row>
    <row r="360" spans="1:10" ht="72">
      <c r="A360" s="1">
        <v>2023</v>
      </c>
      <c r="B360" s="1" t="s">
        <v>9</v>
      </c>
      <c r="C360" s="1" t="s">
        <v>10</v>
      </c>
      <c r="D360" s="1" t="s">
        <v>704</v>
      </c>
      <c r="E360" s="1" t="s">
        <v>721</v>
      </c>
      <c r="F360" s="1" t="s">
        <v>722</v>
      </c>
      <c r="G360" s="2">
        <v>1</v>
      </c>
      <c r="H360" s="2">
        <v>0</v>
      </c>
      <c r="I360" s="2">
        <v>0</v>
      </c>
      <c r="J360" s="1" t="s">
        <v>692</v>
      </c>
    </row>
    <row r="361" spans="1:10" ht="72">
      <c r="A361" s="1">
        <v>2023</v>
      </c>
      <c r="B361" s="1" t="s">
        <v>9</v>
      </c>
      <c r="C361" s="1" t="s">
        <v>10</v>
      </c>
      <c r="D361" s="1" t="s">
        <v>723</v>
      </c>
      <c r="E361" s="1" t="s">
        <v>724</v>
      </c>
      <c r="F361" s="1" t="s">
        <v>725</v>
      </c>
      <c r="G361" s="2">
        <v>0</v>
      </c>
      <c r="H361" s="4">
        <v>1</v>
      </c>
      <c r="I361" s="4">
        <v>0.71499999999999997</v>
      </c>
      <c r="J361" s="1" t="s">
        <v>726</v>
      </c>
    </row>
    <row r="362" spans="1:10" ht="72">
      <c r="A362" s="1">
        <v>2023</v>
      </c>
      <c r="B362" s="1" t="s">
        <v>9</v>
      </c>
      <c r="C362" s="1" t="s">
        <v>10</v>
      </c>
      <c r="D362" s="1" t="s">
        <v>723</v>
      </c>
      <c r="E362" s="1" t="s">
        <v>727</v>
      </c>
      <c r="F362" s="1" t="s">
        <v>728</v>
      </c>
      <c r="G362" s="2">
        <v>0</v>
      </c>
      <c r="H362" s="4">
        <v>1</v>
      </c>
      <c r="I362" s="4">
        <v>0</v>
      </c>
      <c r="J362" s="1" t="s">
        <v>726</v>
      </c>
    </row>
    <row r="363" spans="1:10" ht="72">
      <c r="A363" s="1">
        <v>2023</v>
      </c>
      <c r="B363" s="1" t="s">
        <v>9</v>
      </c>
      <c r="C363" s="1" t="s">
        <v>10</v>
      </c>
      <c r="D363" s="1" t="s">
        <v>723</v>
      </c>
      <c r="E363" s="1" t="s">
        <v>729</v>
      </c>
      <c r="F363" s="1" t="s">
        <v>730</v>
      </c>
      <c r="G363" s="3">
        <v>1</v>
      </c>
      <c r="H363" s="3">
        <v>0</v>
      </c>
      <c r="I363" s="4">
        <v>0</v>
      </c>
      <c r="J363" s="1" t="s">
        <v>726</v>
      </c>
    </row>
    <row r="364" spans="1:10" ht="84">
      <c r="A364" s="1">
        <v>2023</v>
      </c>
      <c r="B364" s="1" t="s">
        <v>9</v>
      </c>
      <c r="C364" s="1" t="s">
        <v>10</v>
      </c>
      <c r="D364" s="1" t="s">
        <v>723</v>
      </c>
      <c r="E364" s="1" t="s">
        <v>731</v>
      </c>
      <c r="F364" s="1" t="s">
        <v>732</v>
      </c>
      <c r="G364" s="2">
        <v>13</v>
      </c>
      <c r="H364" s="2">
        <v>2</v>
      </c>
      <c r="I364" s="2">
        <v>2</v>
      </c>
      <c r="J364" s="1" t="s">
        <v>726</v>
      </c>
    </row>
    <row r="365" spans="1:10" ht="48">
      <c r="A365" s="1">
        <v>2023</v>
      </c>
      <c r="B365" s="1" t="s">
        <v>9</v>
      </c>
      <c r="C365" s="1" t="s">
        <v>10</v>
      </c>
      <c r="D365" s="1" t="s">
        <v>733</v>
      </c>
      <c r="E365" s="1" t="s">
        <v>734</v>
      </c>
      <c r="F365" s="1" t="s">
        <v>735</v>
      </c>
      <c r="G365" s="2">
        <v>0</v>
      </c>
      <c r="H365" s="4">
        <v>1</v>
      </c>
      <c r="I365" s="4">
        <v>1</v>
      </c>
      <c r="J365" s="1" t="s">
        <v>736</v>
      </c>
    </row>
    <row r="366" spans="1:10" ht="84">
      <c r="A366" s="1">
        <v>2023</v>
      </c>
      <c r="B366" s="1" t="s">
        <v>9</v>
      </c>
      <c r="C366" s="1" t="s">
        <v>10</v>
      </c>
      <c r="D366" s="1" t="s">
        <v>733</v>
      </c>
      <c r="E366" s="1" t="s">
        <v>737</v>
      </c>
      <c r="F366" s="1" t="s">
        <v>728</v>
      </c>
      <c r="G366" s="2">
        <v>0</v>
      </c>
      <c r="H366" s="4">
        <v>1</v>
      </c>
      <c r="I366" s="4">
        <v>1</v>
      </c>
      <c r="J366" s="1" t="s">
        <v>736</v>
      </c>
    </row>
    <row r="367" spans="1:10" ht="108">
      <c r="A367" s="1">
        <v>2023</v>
      </c>
      <c r="B367" s="1" t="s">
        <v>9</v>
      </c>
      <c r="C367" s="1" t="s">
        <v>10</v>
      </c>
      <c r="D367" s="1" t="s">
        <v>733</v>
      </c>
      <c r="E367" s="1" t="s">
        <v>738</v>
      </c>
      <c r="F367" s="1" t="s">
        <v>739</v>
      </c>
      <c r="G367" s="2">
        <v>228</v>
      </c>
      <c r="H367" s="3">
        <v>0.25</v>
      </c>
      <c r="I367" s="3">
        <v>0.25</v>
      </c>
      <c r="J367" s="1" t="s">
        <v>736</v>
      </c>
    </row>
    <row r="368" spans="1:10" ht="168">
      <c r="A368" s="1">
        <v>2023</v>
      </c>
      <c r="B368" s="1" t="s">
        <v>9</v>
      </c>
      <c r="C368" s="1" t="s">
        <v>10</v>
      </c>
      <c r="D368" s="1" t="s">
        <v>733</v>
      </c>
      <c r="E368" s="1" t="s">
        <v>740</v>
      </c>
      <c r="F368" s="1" t="s">
        <v>741</v>
      </c>
      <c r="G368" s="2">
        <v>12</v>
      </c>
      <c r="H368" s="4">
        <v>0.24990000000000001</v>
      </c>
      <c r="I368" s="4">
        <v>0.24990000000000001</v>
      </c>
      <c r="J368" s="1" t="s">
        <v>736</v>
      </c>
    </row>
    <row r="369" spans="1:10" ht="48">
      <c r="A369" s="1">
        <v>2023</v>
      </c>
      <c r="B369" s="1" t="s">
        <v>9</v>
      </c>
      <c r="C369" s="1" t="s">
        <v>10</v>
      </c>
      <c r="D369" s="1" t="s">
        <v>733</v>
      </c>
      <c r="E369" s="1" t="s">
        <v>742</v>
      </c>
      <c r="F369" s="1" t="s">
        <v>743</v>
      </c>
      <c r="G369" s="2">
        <v>250</v>
      </c>
      <c r="H369" s="2">
        <v>45</v>
      </c>
      <c r="I369" s="2">
        <v>42</v>
      </c>
      <c r="J369" s="1" t="s">
        <v>736</v>
      </c>
    </row>
    <row r="370" spans="1:10" ht="48">
      <c r="A370" s="1">
        <v>2023</v>
      </c>
      <c r="B370" s="1" t="s">
        <v>9</v>
      </c>
      <c r="C370" s="1" t="s">
        <v>10</v>
      </c>
      <c r="D370" s="1" t="s">
        <v>733</v>
      </c>
      <c r="E370" s="1" t="s">
        <v>329</v>
      </c>
      <c r="F370" s="1" t="s">
        <v>661</v>
      </c>
      <c r="G370" s="2">
        <v>8</v>
      </c>
      <c r="H370" s="2">
        <v>2</v>
      </c>
      <c r="I370" s="2">
        <v>2</v>
      </c>
      <c r="J370" s="1" t="s">
        <v>736</v>
      </c>
    </row>
    <row r="371" spans="1:10" ht="48">
      <c r="A371" s="1">
        <v>2023</v>
      </c>
      <c r="B371" s="1" t="s">
        <v>9</v>
      </c>
      <c r="C371" s="1" t="s">
        <v>10</v>
      </c>
      <c r="D371" s="1" t="s">
        <v>733</v>
      </c>
      <c r="E371" s="1" t="s">
        <v>744</v>
      </c>
      <c r="F371" s="1" t="s">
        <v>745</v>
      </c>
      <c r="G371" s="2">
        <v>232</v>
      </c>
      <c r="H371" s="2">
        <v>58</v>
      </c>
      <c r="I371" s="2">
        <v>58</v>
      </c>
      <c r="J371" s="1" t="s">
        <v>736</v>
      </c>
    </row>
    <row r="372" spans="1:10" ht="48">
      <c r="A372" s="1">
        <v>2023</v>
      </c>
      <c r="B372" s="1" t="s">
        <v>9</v>
      </c>
      <c r="C372" s="1" t="s">
        <v>10</v>
      </c>
      <c r="D372" s="1" t="s">
        <v>733</v>
      </c>
      <c r="E372" s="1" t="s">
        <v>746</v>
      </c>
      <c r="F372" s="1" t="s">
        <v>747</v>
      </c>
      <c r="G372" s="2">
        <v>12</v>
      </c>
      <c r="H372" s="2">
        <v>3</v>
      </c>
      <c r="I372" s="2">
        <v>3</v>
      </c>
      <c r="J372" s="1" t="s">
        <v>736</v>
      </c>
    </row>
    <row r="373" spans="1:10" ht="48">
      <c r="A373" s="1">
        <v>2023</v>
      </c>
      <c r="B373" s="1" t="s">
        <v>9</v>
      </c>
      <c r="C373" s="1" t="s">
        <v>10</v>
      </c>
      <c r="D373" s="1" t="s">
        <v>733</v>
      </c>
      <c r="E373" s="1" t="s">
        <v>748</v>
      </c>
      <c r="F373" s="1" t="s">
        <v>749</v>
      </c>
      <c r="G373" s="2">
        <v>12</v>
      </c>
      <c r="H373" s="2">
        <v>3</v>
      </c>
      <c r="I373" s="2">
        <v>3</v>
      </c>
      <c r="J373" s="1" t="s">
        <v>736</v>
      </c>
    </row>
    <row r="374" spans="1:10" ht="48">
      <c r="A374" s="1">
        <v>2023</v>
      </c>
      <c r="B374" s="1" t="s">
        <v>9</v>
      </c>
      <c r="C374" s="1" t="s">
        <v>10</v>
      </c>
      <c r="D374" s="1" t="s">
        <v>733</v>
      </c>
      <c r="E374" s="1" t="s">
        <v>750</v>
      </c>
      <c r="F374" s="1" t="s">
        <v>751</v>
      </c>
      <c r="G374" s="2">
        <v>200</v>
      </c>
      <c r="H374" s="2">
        <v>53</v>
      </c>
      <c r="I374" s="2">
        <v>52</v>
      </c>
      <c r="J374" s="1" t="s">
        <v>736</v>
      </c>
    </row>
    <row r="375" spans="1:10" ht="72">
      <c r="A375" s="1">
        <v>2023</v>
      </c>
      <c r="B375" s="1" t="s">
        <v>9</v>
      </c>
      <c r="C375" s="1" t="s">
        <v>10</v>
      </c>
      <c r="D375" s="1" t="s">
        <v>733</v>
      </c>
      <c r="E375" s="1" t="s">
        <v>752</v>
      </c>
      <c r="F375" s="1" t="s">
        <v>753</v>
      </c>
      <c r="G375" s="2">
        <v>200</v>
      </c>
      <c r="H375" s="2">
        <v>53</v>
      </c>
      <c r="I375" s="2">
        <v>52</v>
      </c>
      <c r="J375" s="1" t="s">
        <v>736</v>
      </c>
    </row>
    <row r="376" spans="1:10" ht="36">
      <c r="A376" s="1">
        <v>2023</v>
      </c>
      <c r="B376" s="1" t="s">
        <v>9</v>
      </c>
      <c r="C376" s="1" t="s">
        <v>10</v>
      </c>
      <c r="D376" s="1" t="s">
        <v>754</v>
      </c>
      <c r="E376" s="1" t="s">
        <v>755</v>
      </c>
      <c r="F376" s="1" t="s">
        <v>756</v>
      </c>
      <c r="G376" s="2">
        <v>0</v>
      </c>
      <c r="H376" s="4">
        <v>1</v>
      </c>
      <c r="I376" s="4">
        <v>1</v>
      </c>
      <c r="J376" s="1" t="s">
        <v>757</v>
      </c>
    </row>
    <row r="377" spans="1:10" ht="108">
      <c r="A377" s="1">
        <v>2023</v>
      </c>
      <c r="B377" s="1" t="s">
        <v>9</v>
      </c>
      <c r="C377" s="1" t="s">
        <v>10</v>
      </c>
      <c r="D377" s="1" t="s">
        <v>754</v>
      </c>
      <c r="E377" s="1" t="s">
        <v>758</v>
      </c>
      <c r="F377" s="1" t="s">
        <v>759</v>
      </c>
      <c r="G377" s="2">
        <v>0</v>
      </c>
      <c r="H377" s="4">
        <v>1</v>
      </c>
      <c r="I377" s="4">
        <v>1</v>
      </c>
      <c r="J377" s="1" t="s">
        <v>757</v>
      </c>
    </row>
    <row r="378" spans="1:10" ht="60">
      <c r="A378" s="1">
        <v>2023</v>
      </c>
      <c r="B378" s="1" t="s">
        <v>9</v>
      </c>
      <c r="C378" s="1" t="s">
        <v>10</v>
      </c>
      <c r="D378" s="1" t="s">
        <v>754</v>
      </c>
      <c r="E378" s="1" t="s">
        <v>760</v>
      </c>
      <c r="F378" s="1" t="s">
        <v>761</v>
      </c>
      <c r="G378" s="2">
        <v>2</v>
      </c>
      <c r="H378" s="4">
        <v>8.3500000000000005E-2</v>
      </c>
      <c r="I378" s="4">
        <v>0.41660000000000003</v>
      </c>
      <c r="J378" s="1" t="s">
        <v>757</v>
      </c>
    </row>
    <row r="379" spans="1:10" ht="36">
      <c r="A379" s="1">
        <v>2023</v>
      </c>
      <c r="B379" s="1" t="s">
        <v>9</v>
      </c>
      <c r="C379" s="1" t="s">
        <v>10</v>
      </c>
      <c r="D379" s="1" t="s">
        <v>754</v>
      </c>
      <c r="E379" s="1" t="s">
        <v>762</v>
      </c>
      <c r="F379" s="1" t="s">
        <v>763</v>
      </c>
      <c r="G379" s="2">
        <v>12</v>
      </c>
      <c r="H379" s="2">
        <v>92</v>
      </c>
      <c r="I379" s="2">
        <v>31</v>
      </c>
      <c r="J379" s="1" t="s">
        <v>757</v>
      </c>
    </row>
    <row r="380" spans="1:10" ht="60">
      <c r="A380" s="1">
        <v>2023</v>
      </c>
      <c r="B380" s="1" t="s">
        <v>9</v>
      </c>
      <c r="C380" s="1" t="s">
        <v>10</v>
      </c>
      <c r="D380" s="1" t="s">
        <v>754</v>
      </c>
      <c r="E380" s="1" t="s">
        <v>764</v>
      </c>
      <c r="F380" s="1" t="s">
        <v>765</v>
      </c>
      <c r="G380" s="2">
        <v>12</v>
      </c>
      <c r="H380" s="2">
        <v>6</v>
      </c>
      <c r="I380" s="2">
        <v>2</v>
      </c>
      <c r="J380" s="1" t="s">
        <v>757</v>
      </c>
    </row>
    <row r="381" spans="1:10" ht="36">
      <c r="A381" s="1">
        <v>2023</v>
      </c>
      <c r="B381" s="1" t="s">
        <v>9</v>
      </c>
      <c r="C381" s="1" t="s">
        <v>766</v>
      </c>
      <c r="D381" s="1" t="s">
        <v>767</v>
      </c>
      <c r="E381" s="1" t="s">
        <v>768</v>
      </c>
      <c r="F381" s="1" t="s">
        <v>769</v>
      </c>
      <c r="G381" s="2">
        <v>0</v>
      </c>
      <c r="H381" s="3">
        <f t="shared" ref="H381:I381" si="134">0+0+100%</f>
        <v>1</v>
      </c>
      <c r="I381" s="3">
        <f t="shared" si="134"/>
        <v>1</v>
      </c>
      <c r="J381" s="1" t="s">
        <v>770</v>
      </c>
    </row>
    <row r="382" spans="1:10" ht="48">
      <c r="A382" s="1">
        <v>2023</v>
      </c>
      <c r="B382" s="1" t="s">
        <v>9</v>
      </c>
      <c r="C382" s="1" t="s">
        <v>766</v>
      </c>
      <c r="D382" s="1" t="s">
        <v>767</v>
      </c>
      <c r="E382" s="1" t="s">
        <v>771</v>
      </c>
      <c r="F382" s="1" t="s">
        <v>772</v>
      </c>
      <c r="G382" s="2">
        <v>0</v>
      </c>
      <c r="H382" s="3">
        <f t="shared" ref="H382:I382" si="135">0+0+100%</f>
        <v>1</v>
      </c>
      <c r="I382" s="3">
        <f t="shared" si="135"/>
        <v>1</v>
      </c>
      <c r="J382" s="1" t="s">
        <v>770</v>
      </c>
    </row>
    <row r="383" spans="1:10" ht="48">
      <c r="A383" s="1">
        <v>2023</v>
      </c>
      <c r="B383" s="1" t="s">
        <v>9</v>
      </c>
      <c r="C383" s="1" t="s">
        <v>766</v>
      </c>
      <c r="D383" s="1" t="s">
        <v>767</v>
      </c>
      <c r="E383" s="1" t="s">
        <v>773</v>
      </c>
      <c r="F383" s="1" t="s">
        <v>774</v>
      </c>
      <c r="G383" s="2">
        <v>54</v>
      </c>
      <c r="H383" s="4">
        <f t="shared" ref="H383:H384" si="136">8.33%+8.33%+8.33%</f>
        <v>0.24990000000000001</v>
      </c>
      <c r="I383" s="4">
        <f t="shared" ref="I383:I384" si="137">8%+8%+8%</f>
        <v>0.24</v>
      </c>
      <c r="J383" s="1" t="s">
        <v>770</v>
      </c>
    </row>
    <row r="384" spans="1:10" ht="48">
      <c r="A384" s="1">
        <v>2023</v>
      </c>
      <c r="B384" s="1" t="s">
        <v>9</v>
      </c>
      <c r="C384" s="1" t="s">
        <v>766</v>
      </c>
      <c r="D384" s="1" t="s">
        <v>767</v>
      </c>
      <c r="E384" s="1" t="s">
        <v>775</v>
      </c>
      <c r="F384" s="1" t="s">
        <v>776</v>
      </c>
      <c r="G384" s="2">
        <v>0</v>
      </c>
      <c r="H384" s="4">
        <f t="shared" si="136"/>
        <v>0.24990000000000001</v>
      </c>
      <c r="I384" s="4">
        <f t="shared" si="137"/>
        <v>0.24</v>
      </c>
      <c r="J384" s="1" t="s">
        <v>770</v>
      </c>
    </row>
    <row r="385" spans="1:10" ht="36">
      <c r="A385" s="1">
        <v>2023</v>
      </c>
      <c r="B385" s="1" t="s">
        <v>9</v>
      </c>
      <c r="C385" s="1" t="s">
        <v>766</v>
      </c>
      <c r="D385" s="1" t="s">
        <v>767</v>
      </c>
      <c r="E385" s="1" t="s">
        <v>777</v>
      </c>
      <c r="F385" s="1" t="s">
        <v>778</v>
      </c>
      <c r="G385" s="5">
        <v>8</v>
      </c>
      <c r="H385" s="5">
        <f t="shared" ref="H385:I385" si="138">1+1+1</f>
        <v>3</v>
      </c>
      <c r="I385" s="5">
        <f t="shared" si="138"/>
        <v>3</v>
      </c>
      <c r="J385" s="1" t="s">
        <v>770</v>
      </c>
    </row>
    <row r="386" spans="1:10" ht="36">
      <c r="A386" s="1">
        <v>2023</v>
      </c>
      <c r="B386" s="1" t="s">
        <v>9</v>
      </c>
      <c r="C386" s="1" t="s">
        <v>766</v>
      </c>
      <c r="D386" s="1" t="s">
        <v>767</v>
      </c>
      <c r="E386" s="1" t="s">
        <v>779</v>
      </c>
      <c r="F386" s="1" t="s">
        <v>780</v>
      </c>
      <c r="G386" s="5">
        <v>8</v>
      </c>
      <c r="H386" s="5">
        <f t="shared" ref="H386:I386" si="139">1+1+1</f>
        <v>3</v>
      </c>
      <c r="I386" s="5">
        <f t="shared" si="139"/>
        <v>3</v>
      </c>
      <c r="J386" s="1" t="s">
        <v>770</v>
      </c>
    </row>
    <row r="387" spans="1:10" ht="48">
      <c r="A387" s="1">
        <v>2023</v>
      </c>
      <c r="B387" s="1" t="s">
        <v>9</v>
      </c>
      <c r="C387" s="1" t="s">
        <v>766</v>
      </c>
      <c r="D387" s="1" t="s">
        <v>767</v>
      </c>
      <c r="E387" s="1" t="s">
        <v>781</v>
      </c>
      <c r="F387" s="1" t="s">
        <v>782</v>
      </c>
      <c r="G387" s="5">
        <v>1</v>
      </c>
      <c r="H387" s="5">
        <f t="shared" ref="H387:I387" si="140">1+1+1</f>
        <v>3</v>
      </c>
      <c r="I387" s="5">
        <f t="shared" si="140"/>
        <v>3</v>
      </c>
      <c r="J387" s="1" t="s">
        <v>770</v>
      </c>
    </row>
    <row r="388" spans="1:10" ht="48">
      <c r="A388" s="1">
        <v>2023</v>
      </c>
      <c r="B388" s="1" t="s">
        <v>9</v>
      </c>
      <c r="C388" s="1" t="s">
        <v>766</v>
      </c>
      <c r="D388" s="1" t="s">
        <v>767</v>
      </c>
      <c r="E388" s="1" t="s">
        <v>783</v>
      </c>
      <c r="F388" s="1" t="s">
        <v>784</v>
      </c>
      <c r="G388" s="5">
        <v>1</v>
      </c>
      <c r="H388" s="5">
        <f t="shared" ref="H388:I388" si="141">1+1+1</f>
        <v>3</v>
      </c>
      <c r="I388" s="5">
        <f t="shared" si="141"/>
        <v>3</v>
      </c>
      <c r="J388" s="1" t="s">
        <v>770</v>
      </c>
    </row>
    <row r="389" spans="1:10" ht="36">
      <c r="A389" s="1">
        <v>2023</v>
      </c>
      <c r="B389" s="1" t="s">
        <v>9</v>
      </c>
      <c r="C389" s="1" t="s">
        <v>766</v>
      </c>
      <c r="D389" s="1" t="s">
        <v>785</v>
      </c>
      <c r="E389" s="1" t="s">
        <v>786</v>
      </c>
      <c r="F389" s="1" t="s">
        <v>786</v>
      </c>
      <c r="G389" s="2">
        <v>0</v>
      </c>
      <c r="H389" s="3">
        <f t="shared" ref="H389:H390" si="142">0+0+100%</f>
        <v>1</v>
      </c>
      <c r="I389" s="3">
        <f t="shared" ref="I389:I390" si="143">0+0+92%</f>
        <v>0.92</v>
      </c>
      <c r="J389" s="1" t="s">
        <v>770</v>
      </c>
    </row>
    <row r="390" spans="1:10" ht="36">
      <c r="A390" s="1">
        <v>2023</v>
      </c>
      <c r="B390" s="1" t="s">
        <v>9</v>
      </c>
      <c r="C390" s="1" t="s">
        <v>766</v>
      </c>
      <c r="D390" s="1" t="s">
        <v>785</v>
      </c>
      <c r="E390" s="1" t="s">
        <v>787</v>
      </c>
      <c r="F390" s="1" t="s">
        <v>788</v>
      </c>
      <c r="G390" s="2">
        <v>0</v>
      </c>
      <c r="H390" s="3">
        <f t="shared" si="142"/>
        <v>1</v>
      </c>
      <c r="I390" s="3">
        <f t="shared" si="143"/>
        <v>0.92</v>
      </c>
      <c r="J390" s="1" t="s">
        <v>770</v>
      </c>
    </row>
    <row r="391" spans="1:10" ht="36">
      <c r="A391" s="1">
        <v>2023</v>
      </c>
      <c r="B391" s="1" t="s">
        <v>9</v>
      </c>
      <c r="C391" s="1" t="s">
        <v>766</v>
      </c>
      <c r="D391" s="1" t="s">
        <v>785</v>
      </c>
      <c r="E391" s="1" t="s">
        <v>789</v>
      </c>
      <c r="F391" s="1" t="s">
        <v>790</v>
      </c>
      <c r="G391" s="2">
        <v>30</v>
      </c>
      <c r="H391" s="3">
        <f>6.67%+6.67%+6.67%</f>
        <v>0.2001</v>
      </c>
      <c r="I391" s="4">
        <f>3.33%+3.33%+3.33%</f>
        <v>9.9900000000000017E-2</v>
      </c>
      <c r="J391" s="1" t="s">
        <v>770</v>
      </c>
    </row>
    <row r="392" spans="1:10" ht="48">
      <c r="A392" s="1">
        <v>2023</v>
      </c>
      <c r="B392" s="1" t="s">
        <v>9</v>
      </c>
      <c r="C392" s="1" t="s">
        <v>766</v>
      </c>
      <c r="D392" s="1" t="s">
        <v>785</v>
      </c>
      <c r="E392" s="1" t="s">
        <v>791</v>
      </c>
      <c r="F392" s="1" t="s">
        <v>792</v>
      </c>
      <c r="G392" s="2">
        <v>8</v>
      </c>
      <c r="H392" s="4">
        <f>8.33%+8.33%+8.33%</f>
        <v>0.24990000000000001</v>
      </c>
      <c r="I392" s="4">
        <f>8.33%+16.67%+8.33%</f>
        <v>0.33329999999999999</v>
      </c>
      <c r="J392" s="1" t="s">
        <v>770</v>
      </c>
    </row>
    <row r="393" spans="1:10" ht="36">
      <c r="A393" s="1">
        <v>2023</v>
      </c>
      <c r="B393" s="1" t="s">
        <v>9</v>
      </c>
      <c r="C393" s="1" t="s">
        <v>766</v>
      </c>
      <c r="D393" s="1" t="s">
        <v>785</v>
      </c>
      <c r="E393" s="1" t="s">
        <v>793</v>
      </c>
      <c r="F393" s="1" t="s">
        <v>794</v>
      </c>
      <c r="G393" s="5">
        <v>10</v>
      </c>
      <c r="H393" s="5">
        <f t="shared" ref="H393:H395" si="144">1+0+1</f>
        <v>2</v>
      </c>
      <c r="I393" s="5">
        <f>1+0+0</f>
        <v>1</v>
      </c>
      <c r="J393" s="1" t="s">
        <v>770</v>
      </c>
    </row>
    <row r="394" spans="1:10" ht="36">
      <c r="A394" s="1">
        <v>2023</v>
      </c>
      <c r="B394" s="1" t="s">
        <v>9</v>
      </c>
      <c r="C394" s="1" t="s">
        <v>766</v>
      </c>
      <c r="D394" s="1" t="s">
        <v>785</v>
      </c>
      <c r="E394" s="1" t="s">
        <v>795</v>
      </c>
      <c r="F394" s="1" t="s">
        <v>796</v>
      </c>
      <c r="G394" s="5">
        <v>10</v>
      </c>
      <c r="H394" s="5">
        <f t="shared" si="144"/>
        <v>2</v>
      </c>
      <c r="I394" s="5">
        <f>0+1+0</f>
        <v>1</v>
      </c>
      <c r="J394" s="1" t="s">
        <v>770</v>
      </c>
    </row>
    <row r="395" spans="1:10" ht="36">
      <c r="A395" s="1">
        <v>2023</v>
      </c>
      <c r="B395" s="1" t="s">
        <v>9</v>
      </c>
      <c r="C395" s="1" t="s">
        <v>766</v>
      </c>
      <c r="D395" s="1" t="s">
        <v>785</v>
      </c>
      <c r="E395" s="1" t="s">
        <v>797</v>
      </c>
      <c r="F395" s="1" t="s">
        <v>798</v>
      </c>
      <c r="G395" s="5">
        <v>10</v>
      </c>
      <c r="H395" s="5">
        <f t="shared" si="144"/>
        <v>2</v>
      </c>
      <c r="I395" s="5">
        <f t="shared" ref="I395:I396" si="145">1+0+0</f>
        <v>1</v>
      </c>
      <c r="J395" s="1" t="s">
        <v>770</v>
      </c>
    </row>
    <row r="396" spans="1:10" ht="36">
      <c r="A396" s="1">
        <v>2023</v>
      </c>
      <c r="B396" s="1" t="s">
        <v>9</v>
      </c>
      <c r="C396" s="1" t="s">
        <v>766</v>
      </c>
      <c r="D396" s="1" t="s">
        <v>785</v>
      </c>
      <c r="E396" s="1" t="s">
        <v>799</v>
      </c>
      <c r="F396" s="1" t="s">
        <v>800</v>
      </c>
      <c r="G396" s="5">
        <v>3</v>
      </c>
      <c r="H396" s="5">
        <f>1+1+1</f>
        <v>3</v>
      </c>
      <c r="I396" s="5">
        <f t="shared" si="145"/>
        <v>1</v>
      </c>
      <c r="J396" s="1" t="s">
        <v>770</v>
      </c>
    </row>
    <row r="397" spans="1:10" ht="36">
      <c r="A397" s="1">
        <v>2023</v>
      </c>
      <c r="B397" s="1" t="s">
        <v>9</v>
      </c>
      <c r="C397" s="1" t="s">
        <v>766</v>
      </c>
      <c r="D397" s="1" t="s">
        <v>785</v>
      </c>
      <c r="E397" s="1" t="s">
        <v>801</v>
      </c>
      <c r="F397" s="1" t="s">
        <v>802</v>
      </c>
      <c r="G397" s="5">
        <v>3</v>
      </c>
      <c r="H397" s="5">
        <f t="shared" ref="H397:H398" si="146">0+0+0</f>
        <v>0</v>
      </c>
      <c r="I397" s="5">
        <f>0+1+0</f>
        <v>1</v>
      </c>
      <c r="J397" s="1" t="s">
        <v>770</v>
      </c>
    </row>
    <row r="398" spans="1:10" ht="36">
      <c r="A398" s="1">
        <v>2023</v>
      </c>
      <c r="B398" s="1" t="s">
        <v>9</v>
      </c>
      <c r="C398" s="1" t="s">
        <v>766</v>
      </c>
      <c r="D398" s="1" t="s">
        <v>785</v>
      </c>
      <c r="E398" s="1" t="s">
        <v>803</v>
      </c>
      <c r="F398" s="1" t="s">
        <v>804</v>
      </c>
      <c r="G398" s="5">
        <v>3</v>
      </c>
      <c r="H398" s="5">
        <f t="shared" si="146"/>
        <v>0</v>
      </c>
      <c r="I398" s="5">
        <f>0+1+1</f>
        <v>2</v>
      </c>
      <c r="J398" s="1" t="s">
        <v>770</v>
      </c>
    </row>
    <row r="399" spans="1:10" ht="72">
      <c r="A399" s="1">
        <v>2023</v>
      </c>
      <c r="B399" s="1" t="s">
        <v>9</v>
      </c>
      <c r="C399" s="1" t="s">
        <v>766</v>
      </c>
      <c r="D399" s="1" t="s">
        <v>805</v>
      </c>
      <c r="E399" s="1" t="s">
        <v>806</v>
      </c>
      <c r="F399" s="1" t="s">
        <v>807</v>
      </c>
      <c r="G399" s="2">
        <v>0</v>
      </c>
      <c r="H399" s="3">
        <f t="shared" ref="H399:H400" si="147">0+0+100%</f>
        <v>1</v>
      </c>
      <c r="I399" s="3">
        <f t="shared" ref="I399:I400" si="148">0+0+80%</f>
        <v>0.8</v>
      </c>
      <c r="J399" s="1" t="s">
        <v>808</v>
      </c>
    </row>
    <row r="400" spans="1:10" ht="36">
      <c r="A400" s="1">
        <v>2023</v>
      </c>
      <c r="B400" s="1" t="s">
        <v>9</v>
      </c>
      <c r="C400" s="1" t="s">
        <v>766</v>
      </c>
      <c r="D400" s="1" t="s">
        <v>805</v>
      </c>
      <c r="E400" s="1" t="s">
        <v>809</v>
      </c>
      <c r="F400" s="1" t="s">
        <v>807</v>
      </c>
      <c r="G400" s="2">
        <v>0</v>
      </c>
      <c r="H400" s="3">
        <f t="shared" si="147"/>
        <v>1</v>
      </c>
      <c r="I400" s="3">
        <f t="shared" si="148"/>
        <v>0.8</v>
      </c>
      <c r="J400" s="1" t="s">
        <v>808</v>
      </c>
    </row>
    <row r="401" spans="1:10" ht="48">
      <c r="A401" s="1">
        <v>2023</v>
      </c>
      <c r="B401" s="1" t="s">
        <v>9</v>
      </c>
      <c r="C401" s="1" t="s">
        <v>766</v>
      </c>
      <c r="D401" s="1" t="s">
        <v>805</v>
      </c>
      <c r="E401" s="1" t="s">
        <v>810</v>
      </c>
      <c r="F401" s="1" t="s">
        <v>811</v>
      </c>
      <c r="G401" s="2">
        <v>239</v>
      </c>
      <c r="H401" s="4">
        <f t="shared" ref="H401:I401" si="149">8.33%+8.33%+8.33%</f>
        <v>0.24990000000000001</v>
      </c>
      <c r="I401" s="4">
        <f t="shared" si="149"/>
        <v>0.24990000000000001</v>
      </c>
      <c r="J401" s="1" t="s">
        <v>808</v>
      </c>
    </row>
    <row r="402" spans="1:10" ht="36">
      <c r="A402" s="1">
        <v>2023</v>
      </c>
      <c r="B402" s="1" t="s">
        <v>9</v>
      </c>
      <c r="C402" s="1" t="s">
        <v>766</v>
      </c>
      <c r="D402" s="1" t="s">
        <v>805</v>
      </c>
      <c r="E402" s="1" t="s">
        <v>812</v>
      </c>
      <c r="F402" s="1" t="s">
        <v>813</v>
      </c>
      <c r="G402" s="2">
        <v>6</v>
      </c>
      <c r="H402" s="4">
        <f>10%+10%+10%</f>
        <v>0.30000000000000004</v>
      </c>
      <c r="I402" s="4">
        <f>20%+10%+10%</f>
        <v>0.4</v>
      </c>
      <c r="J402" s="1" t="s">
        <v>808</v>
      </c>
    </row>
    <row r="403" spans="1:10" ht="60">
      <c r="A403" s="1">
        <v>2023</v>
      </c>
      <c r="B403" s="1" t="s">
        <v>9</v>
      </c>
      <c r="C403" s="1" t="s">
        <v>766</v>
      </c>
      <c r="D403" s="1" t="s">
        <v>805</v>
      </c>
      <c r="E403" s="1" t="s">
        <v>814</v>
      </c>
      <c r="F403" s="1" t="s">
        <v>815</v>
      </c>
      <c r="G403" s="2">
        <v>94</v>
      </c>
      <c r="H403" s="4">
        <f>16.66%+16.66%+16.66%</f>
        <v>0.49980000000000002</v>
      </c>
      <c r="I403" s="4">
        <f>8.33%+8.33%+8.33%</f>
        <v>0.24990000000000001</v>
      </c>
      <c r="J403" s="1" t="s">
        <v>808</v>
      </c>
    </row>
    <row r="404" spans="1:10" ht="72">
      <c r="A404" s="1">
        <v>2023</v>
      </c>
      <c r="B404" s="1" t="s">
        <v>9</v>
      </c>
      <c r="C404" s="1" t="s">
        <v>766</v>
      </c>
      <c r="D404" s="1" t="s">
        <v>805</v>
      </c>
      <c r="E404" s="1" t="s">
        <v>816</v>
      </c>
      <c r="F404" s="1" t="s">
        <v>817</v>
      </c>
      <c r="G404" s="2">
        <v>0</v>
      </c>
      <c r="H404" s="4">
        <f t="shared" ref="H404:I404" si="150">0+0+0</f>
        <v>0</v>
      </c>
      <c r="I404" s="4">
        <f t="shared" si="150"/>
        <v>0</v>
      </c>
      <c r="J404" s="1" t="s">
        <v>808</v>
      </c>
    </row>
    <row r="405" spans="1:10" ht="36">
      <c r="A405" s="1">
        <v>2023</v>
      </c>
      <c r="B405" s="1" t="s">
        <v>9</v>
      </c>
      <c r="C405" s="1" t="s">
        <v>766</v>
      </c>
      <c r="D405" s="1" t="s">
        <v>805</v>
      </c>
      <c r="E405" s="1" t="s">
        <v>818</v>
      </c>
      <c r="F405" s="1" t="s">
        <v>819</v>
      </c>
      <c r="G405" s="5">
        <v>239</v>
      </c>
      <c r="H405" s="4">
        <f t="shared" ref="H405:I405" si="151">8.33%+8.33%+8.33%</f>
        <v>0.24990000000000001</v>
      </c>
      <c r="I405" s="4">
        <f t="shared" si="151"/>
        <v>0.24990000000000001</v>
      </c>
      <c r="J405" s="1" t="s">
        <v>808</v>
      </c>
    </row>
    <row r="406" spans="1:10" ht="48">
      <c r="A406" s="1">
        <v>2023</v>
      </c>
      <c r="B406" s="1" t="s">
        <v>9</v>
      </c>
      <c r="C406" s="1" t="s">
        <v>766</v>
      </c>
      <c r="D406" s="1" t="s">
        <v>805</v>
      </c>
      <c r="E406" s="1" t="s">
        <v>820</v>
      </c>
      <c r="F406" s="1" t="s">
        <v>821</v>
      </c>
      <c r="G406" s="5">
        <v>6</v>
      </c>
      <c r="H406" s="5">
        <f>0+0+0</f>
        <v>0</v>
      </c>
      <c r="I406" s="5">
        <f>1+1+1</f>
        <v>3</v>
      </c>
      <c r="J406" s="1" t="s">
        <v>808</v>
      </c>
    </row>
    <row r="407" spans="1:10" ht="48">
      <c r="A407" s="1">
        <v>2023</v>
      </c>
      <c r="B407" s="1" t="s">
        <v>9</v>
      </c>
      <c r="C407" s="1" t="s">
        <v>766</v>
      </c>
      <c r="D407" s="1" t="s">
        <v>805</v>
      </c>
      <c r="E407" s="1" t="s">
        <v>820</v>
      </c>
      <c r="F407" s="1" t="s">
        <v>821</v>
      </c>
      <c r="G407" s="5">
        <v>47</v>
      </c>
      <c r="H407" s="5">
        <f>14+14+14</f>
        <v>42</v>
      </c>
      <c r="I407" s="5">
        <f>7+7+7</f>
        <v>21</v>
      </c>
      <c r="J407" s="1" t="s">
        <v>808</v>
      </c>
    </row>
    <row r="408" spans="1:10" ht="36">
      <c r="A408" s="1">
        <v>2023</v>
      </c>
      <c r="B408" s="1" t="s">
        <v>9</v>
      </c>
      <c r="C408" s="1" t="s">
        <v>766</v>
      </c>
      <c r="D408" s="1" t="s">
        <v>805</v>
      </c>
      <c r="E408" s="1" t="s">
        <v>822</v>
      </c>
      <c r="F408" s="1" t="s">
        <v>823</v>
      </c>
      <c r="G408" s="5">
        <v>47</v>
      </c>
      <c r="H408" s="5">
        <f>11+11+11</f>
        <v>33</v>
      </c>
      <c r="I408" s="5">
        <f>4+4+4</f>
        <v>12</v>
      </c>
      <c r="J408" s="1" t="s">
        <v>808</v>
      </c>
    </row>
    <row r="409" spans="1:10" ht="48">
      <c r="A409" s="1">
        <v>2023</v>
      </c>
      <c r="B409" s="1" t="s">
        <v>9</v>
      </c>
      <c r="C409" s="1" t="s">
        <v>766</v>
      </c>
      <c r="D409" s="1" t="s">
        <v>805</v>
      </c>
      <c r="E409" s="1" t="s">
        <v>820</v>
      </c>
      <c r="F409" s="1" t="s">
        <v>824</v>
      </c>
      <c r="G409" s="5">
        <v>120</v>
      </c>
      <c r="H409" s="5">
        <f t="shared" ref="H409:I409" si="152">0+0+0</f>
        <v>0</v>
      </c>
      <c r="I409" s="5">
        <f t="shared" si="152"/>
        <v>0</v>
      </c>
      <c r="J409" s="1" t="s">
        <v>808</v>
      </c>
    </row>
    <row r="410" spans="1:10" ht="48">
      <c r="A410" s="1">
        <v>2023</v>
      </c>
      <c r="B410" s="1" t="s">
        <v>9</v>
      </c>
      <c r="C410" s="1" t="s">
        <v>766</v>
      </c>
      <c r="D410" s="1" t="s">
        <v>805</v>
      </c>
      <c r="E410" s="1" t="s">
        <v>820</v>
      </c>
      <c r="F410" s="1" t="s">
        <v>825</v>
      </c>
      <c r="G410" s="5">
        <v>120</v>
      </c>
      <c r="H410" s="5">
        <f t="shared" ref="H410:I410" si="153">0+0+0</f>
        <v>0</v>
      </c>
      <c r="I410" s="5">
        <f t="shared" si="153"/>
        <v>0</v>
      </c>
      <c r="J410" s="1" t="s">
        <v>808</v>
      </c>
    </row>
    <row r="411" spans="1:10" ht="36">
      <c r="A411" s="1">
        <v>2023</v>
      </c>
      <c r="B411" s="1" t="s">
        <v>9</v>
      </c>
      <c r="C411" s="1" t="s">
        <v>766</v>
      </c>
      <c r="D411" s="1" t="s">
        <v>826</v>
      </c>
      <c r="E411" s="1" t="s">
        <v>827</v>
      </c>
      <c r="F411" s="1" t="s">
        <v>828</v>
      </c>
      <c r="G411" s="2">
        <v>0</v>
      </c>
      <c r="H411" s="3">
        <f t="shared" ref="H411:H412" si="154">0+0+100%</f>
        <v>1</v>
      </c>
      <c r="I411" s="3">
        <f t="shared" ref="I411:I412" si="155">0+0+72%</f>
        <v>0.72</v>
      </c>
      <c r="J411" s="1" t="s">
        <v>829</v>
      </c>
    </row>
    <row r="412" spans="1:10" ht="36">
      <c r="A412" s="1">
        <v>2023</v>
      </c>
      <c r="B412" s="1" t="s">
        <v>9</v>
      </c>
      <c r="C412" s="1" t="s">
        <v>766</v>
      </c>
      <c r="D412" s="1" t="s">
        <v>826</v>
      </c>
      <c r="E412" s="1" t="s">
        <v>830</v>
      </c>
      <c r="F412" s="1" t="s">
        <v>831</v>
      </c>
      <c r="G412" s="2">
        <v>0</v>
      </c>
      <c r="H412" s="3">
        <f t="shared" si="154"/>
        <v>1</v>
      </c>
      <c r="I412" s="3">
        <f t="shared" si="155"/>
        <v>0.72</v>
      </c>
      <c r="J412" s="1" t="s">
        <v>829</v>
      </c>
    </row>
    <row r="413" spans="1:10" ht="36">
      <c r="A413" s="1">
        <v>2023</v>
      </c>
      <c r="B413" s="1" t="s">
        <v>9</v>
      </c>
      <c r="C413" s="1" t="s">
        <v>766</v>
      </c>
      <c r="D413" s="1" t="s">
        <v>826</v>
      </c>
      <c r="E413" s="1" t="s">
        <v>832</v>
      </c>
      <c r="F413" s="1" t="s">
        <v>833</v>
      </c>
      <c r="G413" s="2">
        <v>2949</v>
      </c>
      <c r="H413" s="4">
        <f>8.33%+8.33%+8.33%</f>
        <v>0.24990000000000001</v>
      </c>
      <c r="I413" s="4">
        <f>8.48%+8.96%+7.4%</f>
        <v>0.24840000000000001</v>
      </c>
      <c r="J413" s="1" t="s">
        <v>829</v>
      </c>
    </row>
    <row r="414" spans="1:10" ht="36">
      <c r="A414" s="1">
        <v>2023</v>
      </c>
      <c r="B414" s="1" t="s">
        <v>9</v>
      </c>
      <c r="C414" s="1" t="s">
        <v>766</v>
      </c>
      <c r="D414" s="1" t="s">
        <v>826</v>
      </c>
      <c r="E414" s="1" t="s">
        <v>834</v>
      </c>
      <c r="F414" s="1" t="s">
        <v>835</v>
      </c>
      <c r="G414" s="2">
        <v>65</v>
      </c>
      <c r="H414" s="4">
        <f>9.09%+9.09%+9.09%</f>
        <v>0.2727</v>
      </c>
      <c r="I414" s="4">
        <f>6.66%+3.88%+0.27%</f>
        <v>0.1081</v>
      </c>
      <c r="J414" s="1" t="s">
        <v>829</v>
      </c>
    </row>
    <row r="415" spans="1:10" ht="36">
      <c r="A415" s="1">
        <v>2023</v>
      </c>
      <c r="B415" s="1" t="s">
        <v>9</v>
      </c>
      <c r="C415" s="1" t="s">
        <v>766</v>
      </c>
      <c r="D415" s="1" t="s">
        <v>826</v>
      </c>
      <c r="E415" s="1" t="s">
        <v>836</v>
      </c>
      <c r="F415" s="1" t="s">
        <v>837</v>
      </c>
      <c r="G415" s="5">
        <v>983</v>
      </c>
      <c r="H415" s="5">
        <f t="shared" ref="H415:H417" si="156">68+68+62</f>
        <v>198</v>
      </c>
      <c r="I415" s="5">
        <f t="shared" ref="I415:I417" si="157">76+81+67</f>
        <v>224</v>
      </c>
      <c r="J415" s="1" t="s">
        <v>829</v>
      </c>
    </row>
    <row r="416" spans="1:10" ht="36">
      <c r="A416" s="1">
        <v>2023</v>
      </c>
      <c r="B416" s="1" t="s">
        <v>9</v>
      </c>
      <c r="C416" s="1" t="s">
        <v>766</v>
      </c>
      <c r="D416" s="1" t="s">
        <v>826</v>
      </c>
      <c r="E416" s="1" t="s">
        <v>838</v>
      </c>
      <c r="F416" s="1" t="s">
        <v>839</v>
      </c>
      <c r="G416" s="5">
        <v>983</v>
      </c>
      <c r="H416" s="5">
        <f t="shared" si="156"/>
        <v>198</v>
      </c>
      <c r="I416" s="5">
        <f t="shared" si="157"/>
        <v>224</v>
      </c>
      <c r="J416" s="1" t="s">
        <v>829</v>
      </c>
    </row>
    <row r="417" spans="1:10" ht="36">
      <c r="A417" s="1">
        <v>2023</v>
      </c>
      <c r="B417" s="1" t="s">
        <v>9</v>
      </c>
      <c r="C417" s="1" t="s">
        <v>766</v>
      </c>
      <c r="D417" s="1" t="s">
        <v>826</v>
      </c>
      <c r="E417" s="1" t="s">
        <v>838</v>
      </c>
      <c r="F417" s="1" t="s">
        <v>839</v>
      </c>
      <c r="G417" s="5">
        <v>983</v>
      </c>
      <c r="H417" s="5">
        <f t="shared" si="156"/>
        <v>198</v>
      </c>
      <c r="I417" s="5">
        <f t="shared" si="157"/>
        <v>224</v>
      </c>
      <c r="J417" s="1" t="s">
        <v>829</v>
      </c>
    </row>
    <row r="418" spans="1:10" ht="36">
      <c r="A418" s="1">
        <v>2023</v>
      </c>
      <c r="B418" s="1" t="s">
        <v>9</v>
      </c>
      <c r="C418" s="1" t="s">
        <v>766</v>
      </c>
      <c r="D418" s="1" t="s">
        <v>826</v>
      </c>
      <c r="E418" s="1" t="s">
        <v>840</v>
      </c>
      <c r="F418" s="1" t="s">
        <v>841</v>
      </c>
      <c r="G418" s="5">
        <v>33</v>
      </c>
      <c r="H418" s="5">
        <f t="shared" ref="H418:H419" si="158">0+0+0</f>
        <v>0</v>
      </c>
      <c r="I418" s="5">
        <f>12+7+0</f>
        <v>19</v>
      </c>
      <c r="J418" s="1" t="s">
        <v>829</v>
      </c>
    </row>
    <row r="419" spans="1:10" ht="36">
      <c r="A419" s="1">
        <v>2023</v>
      </c>
      <c r="B419" s="1" t="s">
        <v>9</v>
      </c>
      <c r="C419" s="1" t="s">
        <v>766</v>
      </c>
      <c r="D419" s="1" t="s">
        <v>826</v>
      </c>
      <c r="E419" s="1" t="s">
        <v>842</v>
      </c>
      <c r="F419" s="1" t="s">
        <v>835</v>
      </c>
      <c r="G419" s="5">
        <v>33</v>
      </c>
      <c r="H419" s="5">
        <f t="shared" si="158"/>
        <v>0</v>
      </c>
      <c r="I419" s="5">
        <f>12+7+1</f>
        <v>20</v>
      </c>
      <c r="J419" s="1" t="s">
        <v>829</v>
      </c>
    </row>
    <row r="420" spans="1:10" ht="72">
      <c r="A420" s="1">
        <v>2023</v>
      </c>
      <c r="B420" s="1" t="s">
        <v>9</v>
      </c>
      <c r="C420" s="1" t="s">
        <v>766</v>
      </c>
      <c r="D420" s="1" t="s">
        <v>843</v>
      </c>
      <c r="E420" s="1" t="s">
        <v>844</v>
      </c>
      <c r="F420" s="1" t="s">
        <v>845</v>
      </c>
      <c r="G420" s="2">
        <v>0</v>
      </c>
      <c r="H420" s="3">
        <f t="shared" ref="H420:I420" si="159">0+0+100%</f>
        <v>1</v>
      </c>
      <c r="I420" s="3">
        <f t="shared" si="159"/>
        <v>1</v>
      </c>
      <c r="J420" s="1" t="s">
        <v>846</v>
      </c>
    </row>
    <row r="421" spans="1:10" ht="60">
      <c r="A421" s="1">
        <v>2023</v>
      </c>
      <c r="B421" s="1" t="s">
        <v>9</v>
      </c>
      <c r="C421" s="1" t="s">
        <v>766</v>
      </c>
      <c r="D421" s="1" t="s">
        <v>843</v>
      </c>
      <c r="E421" s="1" t="s">
        <v>847</v>
      </c>
      <c r="F421" s="1" t="s">
        <v>848</v>
      </c>
      <c r="G421" s="2">
        <v>0</v>
      </c>
      <c r="H421" s="3">
        <f t="shared" ref="H421:I421" si="160">0+0+100%</f>
        <v>1</v>
      </c>
      <c r="I421" s="3">
        <f t="shared" si="160"/>
        <v>1</v>
      </c>
      <c r="J421" s="1" t="s">
        <v>846</v>
      </c>
    </row>
    <row r="422" spans="1:10" ht="60">
      <c r="A422" s="1">
        <v>2023</v>
      </c>
      <c r="B422" s="1" t="s">
        <v>9</v>
      </c>
      <c r="C422" s="1" t="s">
        <v>766</v>
      </c>
      <c r="D422" s="1" t="s">
        <v>843</v>
      </c>
      <c r="E422" s="1" t="s">
        <v>849</v>
      </c>
      <c r="F422" s="1" t="s">
        <v>850</v>
      </c>
      <c r="G422" s="11">
        <v>21601</v>
      </c>
      <c r="H422" s="4">
        <f>8.58%+8.93%+8.63%</f>
        <v>0.26139999999999997</v>
      </c>
      <c r="I422" s="4">
        <f>8.71%+8.33%+8.37%</f>
        <v>0.25409999999999999</v>
      </c>
      <c r="J422" s="1" t="s">
        <v>846</v>
      </c>
    </row>
    <row r="423" spans="1:10" ht="48">
      <c r="A423" s="1">
        <v>2023</v>
      </c>
      <c r="B423" s="1" t="s">
        <v>9</v>
      </c>
      <c r="C423" s="1" t="s">
        <v>766</v>
      </c>
      <c r="D423" s="1" t="s">
        <v>843</v>
      </c>
      <c r="E423" s="1" t="s">
        <v>851</v>
      </c>
      <c r="F423" s="1" t="s">
        <v>852</v>
      </c>
      <c r="G423" s="2">
        <v>615</v>
      </c>
      <c r="H423" s="4">
        <f>6.5%+5.85%+6.83%</f>
        <v>0.1918</v>
      </c>
      <c r="I423" s="4">
        <f>7.47%+8.45%+7.47%</f>
        <v>0.2339</v>
      </c>
      <c r="J423" s="1" t="s">
        <v>846</v>
      </c>
    </row>
    <row r="424" spans="1:10" ht="36">
      <c r="A424" s="1">
        <v>2023</v>
      </c>
      <c r="B424" s="1" t="s">
        <v>9</v>
      </c>
      <c r="C424" s="1" t="s">
        <v>766</v>
      </c>
      <c r="D424" s="1" t="s">
        <v>843</v>
      </c>
      <c r="E424" s="1" t="s">
        <v>853</v>
      </c>
      <c r="F424" s="1" t="s">
        <v>854</v>
      </c>
      <c r="G424" s="11">
        <v>2112</v>
      </c>
      <c r="H424" s="4">
        <f>8.49%+8.22%+8.49%</f>
        <v>0.252</v>
      </c>
      <c r="I424" s="4">
        <f>8.49%+8.46%+8.46%</f>
        <v>0.25409999999999999</v>
      </c>
      <c r="J424" s="1" t="s">
        <v>846</v>
      </c>
    </row>
    <row r="425" spans="1:10" ht="36">
      <c r="A425" s="1">
        <v>2023</v>
      </c>
      <c r="B425" s="1" t="s">
        <v>9</v>
      </c>
      <c r="C425" s="1" t="s">
        <v>766</v>
      </c>
      <c r="D425" s="1" t="s">
        <v>843</v>
      </c>
      <c r="E425" s="1" t="s">
        <v>855</v>
      </c>
      <c r="F425" s="1" t="s">
        <v>856</v>
      </c>
      <c r="G425" s="11">
        <v>21601</v>
      </c>
      <c r="H425" s="11">
        <f>1854+1928+1864</f>
        <v>5646</v>
      </c>
      <c r="I425" s="11">
        <f>1938+1928+1864</f>
        <v>5730</v>
      </c>
      <c r="J425" s="1" t="s">
        <v>846</v>
      </c>
    </row>
    <row r="426" spans="1:10" ht="36">
      <c r="A426" s="1">
        <v>2023</v>
      </c>
      <c r="B426" s="1" t="s">
        <v>9</v>
      </c>
      <c r="C426" s="1" t="s">
        <v>766</v>
      </c>
      <c r="D426" s="1" t="s">
        <v>843</v>
      </c>
      <c r="E426" s="1" t="s">
        <v>857</v>
      </c>
      <c r="F426" s="1" t="s">
        <v>858</v>
      </c>
      <c r="G426" s="11">
        <v>615</v>
      </c>
      <c r="H426" s="11">
        <f>40+46+42</f>
        <v>128</v>
      </c>
      <c r="I426" s="11">
        <f>46+52+46</f>
        <v>144</v>
      </c>
      <c r="J426" s="1" t="s">
        <v>846</v>
      </c>
    </row>
    <row r="427" spans="1:10" ht="36">
      <c r="A427" s="1">
        <v>2023</v>
      </c>
      <c r="B427" s="1" t="s">
        <v>9</v>
      </c>
      <c r="C427" s="1" t="s">
        <v>766</v>
      </c>
      <c r="D427" s="1" t="s">
        <v>843</v>
      </c>
      <c r="E427" s="1" t="s">
        <v>859</v>
      </c>
      <c r="F427" s="1" t="s">
        <v>860</v>
      </c>
      <c r="G427" s="11">
        <v>2112</v>
      </c>
      <c r="H427" s="11">
        <f>1085+1050+1085</f>
        <v>3220</v>
      </c>
      <c r="I427" s="11">
        <f>177+185+185</f>
        <v>547</v>
      </c>
      <c r="J427" s="1" t="s">
        <v>846</v>
      </c>
    </row>
    <row r="428" spans="1:10" ht="96">
      <c r="A428" s="1">
        <v>2023</v>
      </c>
      <c r="B428" s="1" t="s">
        <v>9</v>
      </c>
      <c r="C428" s="1" t="s">
        <v>766</v>
      </c>
      <c r="D428" s="1" t="s">
        <v>861</v>
      </c>
      <c r="E428" s="1" t="s">
        <v>862</v>
      </c>
      <c r="F428" s="1" t="s">
        <v>863</v>
      </c>
      <c r="G428" s="2">
        <v>0</v>
      </c>
      <c r="H428" s="3">
        <f t="shared" ref="H428:I428" si="161">0+0+100%</f>
        <v>1</v>
      </c>
      <c r="I428" s="3">
        <f t="shared" si="161"/>
        <v>1</v>
      </c>
      <c r="J428" s="1" t="s">
        <v>846</v>
      </c>
    </row>
    <row r="429" spans="1:10" ht="96">
      <c r="A429" s="1">
        <v>2023</v>
      </c>
      <c r="B429" s="1" t="s">
        <v>9</v>
      </c>
      <c r="C429" s="1" t="s">
        <v>766</v>
      </c>
      <c r="D429" s="1" t="s">
        <v>861</v>
      </c>
      <c r="E429" s="1" t="s">
        <v>864</v>
      </c>
      <c r="F429" s="1" t="s">
        <v>865</v>
      </c>
      <c r="G429" s="2">
        <v>0</v>
      </c>
      <c r="H429" s="3">
        <f t="shared" ref="H429:I429" si="162">0+0+100%</f>
        <v>1</v>
      </c>
      <c r="I429" s="3">
        <f t="shared" si="162"/>
        <v>1</v>
      </c>
      <c r="J429" s="1" t="s">
        <v>846</v>
      </c>
    </row>
    <row r="430" spans="1:10" ht="72">
      <c r="A430" s="1">
        <v>2023</v>
      </c>
      <c r="B430" s="1" t="s">
        <v>9</v>
      </c>
      <c r="C430" s="1" t="s">
        <v>766</v>
      </c>
      <c r="D430" s="1" t="s">
        <v>861</v>
      </c>
      <c r="E430" s="1" t="s">
        <v>866</v>
      </c>
      <c r="F430" s="1" t="s">
        <v>867</v>
      </c>
      <c r="G430" s="11">
        <v>6543</v>
      </c>
      <c r="H430" s="4">
        <f>8.3%+8.28%+8.73%</f>
        <v>0.25309999999999999</v>
      </c>
      <c r="I430" s="4">
        <f>8.2%+8.06%+8.06%</f>
        <v>0.2432</v>
      </c>
      <c r="J430" s="1" t="s">
        <v>846</v>
      </c>
    </row>
    <row r="431" spans="1:10" ht="96">
      <c r="A431" s="1">
        <v>2023</v>
      </c>
      <c r="B431" s="1" t="s">
        <v>9</v>
      </c>
      <c r="C431" s="1" t="s">
        <v>766</v>
      </c>
      <c r="D431" s="1" t="s">
        <v>861</v>
      </c>
      <c r="E431" s="1" t="s">
        <v>868</v>
      </c>
      <c r="F431" s="1" t="s">
        <v>869</v>
      </c>
      <c r="G431" s="2">
        <v>1036</v>
      </c>
      <c r="H431" s="4">
        <f>8.49%+8.3%+7.92%</f>
        <v>0.24709999999999999</v>
      </c>
      <c r="I431" s="4">
        <f>8.31%+8.31%+8.2%</f>
        <v>0.2482</v>
      </c>
      <c r="J431" s="1" t="s">
        <v>846</v>
      </c>
    </row>
    <row r="432" spans="1:10" ht="60">
      <c r="A432" s="1">
        <v>2023</v>
      </c>
      <c r="B432" s="1" t="s">
        <v>9</v>
      </c>
      <c r="C432" s="1" t="s">
        <v>766</v>
      </c>
      <c r="D432" s="1" t="s">
        <v>861</v>
      </c>
      <c r="E432" s="1" t="s">
        <v>870</v>
      </c>
      <c r="F432" s="1" t="s">
        <v>871</v>
      </c>
      <c r="G432" s="2">
        <v>78840</v>
      </c>
      <c r="H432" s="4">
        <f>8.49%+8.22%+8.49%</f>
        <v>0.252</v>
      </c>
      <c r="I432" s="4">
        <f>9.53%+9.38%+8.79%</f>
        <v>0.27699999999999997</v>
      </c>
      <c r="J432" s="1" t="s">
        <v>846</v>
      </c>
    </row>
    <row r="433" spans="1:10" ht="60">
      <c r="A433" s="1">
        <v>2023</v>
      </c>
      <c r="B433" s="1" t="s">
        <v>9</v>
      </c>
      <c r="C433" s="1" t="s">
        <v>766</v>
      </c>
      <c r="D433" s="1" t="s">
        <v>861</v>
      </c>
      <c r="E433" s="1" t="s">
        <v>872</v>
      </c>
      <c r="F433" s="1" t="s">
        <v>873</v>
      </c>
      <c r="G433" s="11">
        <v>6543</v>
      </c>
      <c r="H433" s="11">
        <f>543+542+571</f>
        <v>1656</v>
      </c>
      <c r="I433" s="11">
        <f>540+531+531</f>
        <v>1602</v>
      </c>
      <c r="J433" s="1" t="s">
        <v>846</v>
      </c>
    </row>
    <row r="434" spans="1:10" ht="60">
      <c r="A434" s="1">
        <v>2023</v>
      </c>
      <c r="B434" s="1" t="s">
        <v>9</v>
      </c>
      <c r="C434" s="1" t="s">
        <v>766</v>
      </c>
      <c r="D434" s="1" t="s">
        <v>861</v>
      </c>
      <c r="E434" s="1" t="s">
        <v>872</v>
      </c>
      <c r="F434" s="1" t="s">
        <v>873</v>
      </c>
      <c r="G434" s="11">
        <v>1036</v>
      </c>
      <c r="H434" s="11">
        <f>88+86+82</f>
        <v>256</v>
      </c>
      <c r="I434" s="11">
        <f>82+82+80</f>
        <v>244</v>
      </c>
      <c r="J434" s="1" t="s">
        <v>846</v>
      </c>
    </row>
    <row r="435" spans="1:10" ht="48">
      <c r="A435" s="1">
        <v>2023</v>
      </c>
      <c r="B435" s="1" t="s">
        <v>9</v>
      </c>
      <c r="C435" s="1" t="s">
        <v>766</v>
      </c>
      <c r="D435" s="1" t="s">
        <v>861</v>
      </c>
      <c r="E435" s="1" t="s">
        <v>874</v>
      </c>
      <c r="F435" s="1" t="s">
        <v>875</v>
      </c>
      <c r="G435" s="11">
        <v>78840</v>
      </c>
      <c r="H435" s="11">
        <f>6696+6480+6696</f>
        <v>19872</v>
      </c>
      <c r="I435" s="11">
        <f>7533+7412+6947</f>
        <v>21892</v>
      </c>
      <c r="J435" s="1" t="s">
        <v>846</v>
      </c>
    </row>
    <row r="436" spans="1:10" ht="48">
      <c r="A436" s="1">
        <v>2023</v>
      </c>
      <c r="B436" s="1" t="s">
        <v>9</v>
      </c>
      <c r="C436" s="1" t="s">
        <v>766</v>
      </c>
      <c r="D436" s="1" t="s">
        <v>876</v>
      </c>
      <c r="E436" s="1" t="s">
        <v>877</v>
      </c>
      <c r="F436" s="1" t="s">
        <v>878</v>
      </c>
      <c r="G436" s="2">
        <v>0</v>
      </c>
      <c r="H436" s="3">
        <f t="shared" ref="H436:H437" si="163">0+0+100%</f>
        <v>1</v>
      </c>
      <c r="I436" s="3">
        <f t="shared" ref="I436:I437" si="164">0+0+88%</f>
        <v>0.88</v>
      </c>
      <c r="J436" s="1" t="s">
        <v>846</v>
      </c>
    </row>
    <row r="437" spans="1:10" ht="36">
      <c r="A437" s="1">
        <v>2023</v>
      </c>
      <c r="B437" s="1" t="s">
        <v>9</v>
      </c>
      <c r="C437" s="1" t="s">
        <v>766</v>
      </c>
      <c r="D437" s="1" t="s">
        <v>876</v>
      </c>
      <c r="E437" s="1" t="s">
        <v>879</v>
      </c>
      <c r="F437" s="1" t="s">
        <v>880</v>
      </c>
      <c r="G437" s="2">
        <v>0</v>
      </c>
      <c r="H437" s="3">
        <f t="shared" si="163"/>
        <v>1</v>
      </c>
      <c r="I437" s="3">
        <f t="shared" si="164"/>
        <v>0.88</v>
      </c>
      <c r="J437" s="1" t="s">
        <v>846</v>
      </c>
    </row>
    <row r="438" spans="1:10" ht="72">
      <c r="A438" s="1">
        <v>2023</v>
      </c>
      <c r="B438" s="1" t="s">
        <v>9</v>
      </c>
      <c r="C438" s="1" t="s">
        <v>766</v>
      </c>
      <c r="D438" s="1" t="s">
        <v>876</v>
      </c>
      <c r="E438" s="1" t="s">
        <v>881</v>
      </c>
      <c r="F438" s="1" t="s">
        <v>882</v>
      </c>
      <c r="G438" s="2">
        <v>648</v>
      </c>
      <c r="H438" s="4">
        <f>11.11%+13.89%+7.91%</f>
        <v>0.3291</v>
      </c>
      <c r="I438" s="4">
        <f>5.34%+5.34%+2.56%</f>
        <v>0.13239999999999999</v>
      </c>
      <c r="J438" s="1" t="s">
        <v>846</v>
      </c>
    </row>
    <row r="439" spans="1:10" ht="48">
      <c r="A439" s="1">
        <v>2023</v>
      </c>
      <c r="B439" s="1" t="s">
        <v>9</v>
      </c>
      <c r="C439" s="1" t="s">
        <v>766</v>
      </c>
      <c r="D439" s="1" t="s">
        <v>876</v>
      </c>
      <c r="E439" s="1" t="s">
        <v>883</v>
      </c>
      <c r="F439" s="1" t="s">
        <v>884</v>
      </c>
      <c r="G439" s="2">
        <v>214</v>
      </c>
      <c r="H439" s="4">
        <f>4.67%+7.94%+4.21%</f>
        <v>0.16819999999999999</v>
      </c>
      <c r="I439" s="4">
        <f>6.64%+3.74%+2.8%</f>
        <v>0.1318</v>
      </c>
      <c r="J439" s="1" t="s">
        <v>846</v>
      </c>
    </row>
    <row r="440" spans="1:10" ht="36">
      <c r="A440" s="1">
        <v>2023</v>
      </c>
      <c r="B440" s="1" t="s">
        <v>9</v>
      </c>
      <c r="C440" s="1" t="s">
        <v>766</v>
      </c>
      <c r="D440" s="1" t="s">
        <v>876</v>
      </c>
      <c r="E440" s="1" t="s">
        <v>885</v>
      </c>
      <c r="F440" s="1" t="s">
        <v>886</v>
      </c>
      <c r="G440" s="2">
        <v>1720</v>
      </c>
      <c r="H440" s="4">
        <f>2.21%+4.59%+1.69%</f>
        <v>8.4899999999999989E-2</v>
      </c>
      <c r="I440" s="4">
        <f>3.2%+3.02%+2.91%</f>
        <v>9.1300000000000006E-2</v>
      </c>
      <c r="J440" s="1" t="s">
        <v>846</v>
      </c>
    </row>
    <row r="441" spans="1:10" ht="48">
      <c r="A441" s="1">
        <v>2023</v>
      </c>
      <c r="B441" s="1" t="s">
        <v>9</v>
      </c>
      <c r="C441" s="1" t="s">
        <v>766</v>
      </c>
      <c r="D441" s="1" t="s">
        <v>876</v>
      </c>
      <c r="E441" s="1" t="s">
        <v>887</v>
      </c>
      <c r="F441" s="1" t="s">
        <v>888</v>
      </c>
      <c r="G441" s="2">
        <v>89</v>
      </c>
      <c r="H441" s="4">
        <f>5.62%+5.62%+3.37%</f>
        <v>0.14610000000000001</v>
      </c>
      <c r="I441" s="4">
        <f>1.12%+0%+4.49%</f>
        <v>5.6100000000000004E-2</v>
      </c>
      <c r="J441" s="1" t="s">
        <v>846</v>
      </c>
    </row>
    <row r="442" spans="1:10" ht="48">
      <c r="A442" s="1">
        <v>2023</v>
      </c>
      <c r="B442" s="1" t="s">
        <v>9</v>
      </c>
      <c r="C442" s="1" t="s">
        <v>766</v>
      </c>
      <c r="D442" s="1" t="s">
        <v>876</v>
      </c>
      <c r="E442" s="1" t="s">
        <v>889</v>
      </c>
      <c r="F442" s="1" t="s">
        <v>890</v>
      </c>
      <c r="G442" s="2">
        <v>1</v>
      </c>
      <c r="H442" s="3">
        <f t="shared" ref="H442:I442" si="165">0+0+0</f>
        <v>0</v>
      </c>
      <c r="I442" s="4">
        <f t="shared" si="165"/>
        <v>0</v>
      </c>
      <c r="J442" s="1" t="s">
        <v>846</v>
      </c>
    </row>
    <row r="443" spans="1:10" ht="48">
      <c r="A443" s="1">
        <v>2023</v>
      </c>
      <c r="B443" s="1" t="s">
        <v>9</v>
      </c>
      <c r="C443" s="1" t="s">
        <v>766</v>
      </c>
      <c r="D443" s="1" t="s">
        <v>876</v>
      </c>
      <c r="E443" s="1" t="s">
        <v>891</v>
      </c>
      <c r="F443" s="1" t="s">
        <v>892</v>
      </c>
      <c r="G443" s="2">
        <v>8289</v>
      </c>
      <c r="H443" s="4">
        <f>33.9%+25.31%+12.9%</f>
        <v>0.72109999999999996</v>
      </c>
      <c r="I443" s="4">
        <f>1.81%+1.81%+6.03%</f>
        <v>9.6500000000000002E-2</v>
      </c>
      <c r="J443" s="1" t="s">
        <v>846</v>
      </c>
    </row>
    <row r="444" spans="1:10" ht="72">
      <c r="A444" s="1">
        <v>2023</v>
      </c>
      <c r="B444" s="1" t="s">
        <v>9</v>
      </c>
      <c r="C444" s="1" t="s">
        <v>766</v>
      </c>
      <c r="D444" s="1" t="s">
        <v>876</v>
      </c>
      <c r="E444" s="1" t="s">
        <v>893</v>
      </c>
      <c r="F444" s="1" t="s">
        <v>894</v>
      </c>
      <c r="G444" s="5">
        <v>156</v>
      </c>
      <c r="H444" s="5">
        <f t="shared" ref="H444:H446" si="166">37+36+36</f>
        <v>109</v>
      </c>
      <c r="I444" s="5">
        <f t="shared" ref="I444:I449" si="167">0+0+0</f>
        <v>0</v>
      </c>
      <c r="J444" s="1" t="s">
        <v>846</v>
      </c>
    </row>
    <row r="445" spans="1:10" ht="36">
      <c r="A445" s="1">
        <v>2023</v>
      </c>
      <c r="B445" s="1" t="s">
        <v>9</v>
      </c>
      <c r="C445" s="1" t="s">
        <v>766</v>
      </c>
      <c r="D445" s="1" t="s">
        <v>876</v>
      </c>
      <c r="E445" s="1" t="s">
        <v>895</v>
      </c>
      <c r="F445" s="1" t="s">
        <v>896</v>
      </c>
      <c r="G445" s="5">
        <v>156</v>
      </c>
      <c r="H445" s="5">
        <f t="shared" si="166"/>
        <v>109</v>
      </c>
      <c r="I445" s="5">
        <f t="shared" si="167"/>
        <v>0</v>
      </c>
      <c r="J445" s="1" t="s">
        <v>846</v>
      </c>
    </row>
    <row r="446" spans="1:10" ht="72">
      <c r="A446" s="1">
        <v>2023</v>
      </c>
      <c r="B446" s="1" t="s">
        <v>9</v>
      </c>
      <c r="C446" s="1" t="s">
        <v>766</v>
      </c>
      <c r="D446" s="1" t="s">
        <v>876</v>
      </c>
      <c r="E446" s="1" t="s">
        <v>893</v>
      </c>
      <c r="F446" s="1" t="s">
        <v>894</v>
      </c>
      <c r="G446" s="5">
        <v>156</v>
      </c>
      <c r="H446" s="5">
        <f t="shared" si="166"/>
        <v>109</v>
      </c>
      <c r="I446" s="5">
        <f t="shared" si="167"/>
        <v>0</v>
      </c>
      <c r="J446" s="1" t="s">
        <v>846</v>
      </c>
    </row>
    <row r="447" spans="1:10" ht="36">
      <c r="A447" s="1">
        <v>2023</v>
      </c>
      <c r="B447" s="1" t="s">
        <v>9</v>
      </c>
      <c r="C447" s="1" t="s">
        <v>766</v>
      </c>
      <c r="D447" s="1" t="s">
        <v>876</v>
      </c>
      <c r="E447" s="1" t="s">
        <v>897</v>
      </c>
      <c r="F447" s="1" t="s">
        <v>898</v>
      </c>
      <c r="G447" s="5">
        <v>71</v>
      </c>
      <c r="H447" s="5">
        <f t="shared" ref="H447:H449" si="168">7+7+7</f>
        <v>21</v>
      </c>
      <c r="I447" s="5">
        <f t="shared" si="167"/>
        <v>0</v>
      </c>
      <c r="J447" s="1" t="s">
        <v>846</v>
      </c>
    </row>
    <row r="448" spans="1:10" ht="36">
      <c r="A448" s="1">
        <v>2023</v>
      </c>
      <c r="B448" s="1" t="s">
        <v>9</v>
      </c>
      <c r="C448" s="1" t="s">
        <v>899</v>
      </c>
      <c r="D448" s="1" t="s">
        <v>876</v>
      </c>
      <c r="E448" s="1" t="s">
        <v>900</v>
      </c>
      <c r="F448" s="1" t="s">
        <v>901</v>
      </c>
      <c r="G448" s="5">
        <v>71</v>
      </c>
      <c r="H448" s="5">
        <f t="shared" si="168"/>
        <v>21</v>
      </c>
      <c r="I448" s="5">
        <f t="shared" si="167"/>
        <v>0</v>
      </c>
      <c r="J448" s="1" t="s">
        <v>846</v>
      </c>
    </row>
    <row r="449" spans="1:10" ht="36">
      <c r="A449" s="1">
        <v>2023</v>
      </c>
      <c r="B449" s="1" t="s">
        <v>9</v>
      </c>
      <c r="C449" s="1" t="s">
        <v>766</v>
      </c>
      <c r="D449" s="1" t="s">
        <v>876</v>
      </c>
      <c r="E449" s="1" t="s">
        <v>902</v>
      </c>
      <c r="F449" s="1" t="s">
        <v>903</v>
      </c>
      <c r="G449" s="5">
        <v>71</v>
      </c>
      <c r="H449" s="5">
        <f t="shared" si="168"/>
        <v>21</v>
      </c>
      <c r="I449" s="5">
        <f t="shared" si="167"/>
        <v>0</v>
      </c>
      <c r="J449" s="1" t="s">
        <v>846</v>
      </c>
    </row>
    <row r="450" spans="1:10" ht="36">
      <c r="A450" s="1">
        <v>2023</v>
      </c>
      <c r="B450" s="1" t="s">
        <v>9</v>
      </c>
      <c r="C450" s="1" t="s">
        <v>766</v>
      </c>
      <c r="D450" s="1" t="s">
        <v>876</v>
      </c>
      <c r="E450" s="1" t="s">
        <v>904</v>
      </c>
      <c r="F450" s="1" t="s">
        <v>905</v>
      </c>
      <c r="G450" s="5">
        <v>860</v>
      </c>
      <c r="H450" s="5">
        <f t="shared" ref="H450:I450" si="169">0+0+0</f>
        <v>0</v>
      </c>
      <c r="I450" s="5">
        <f t="shared" si="169"/>
        <v>0</v>
      </c>
      <c r="J450" s="1" t="s">
        <v>846</v>
      </c>
    </row>
    <row r="451" spans="1:10" ht="36">
      <c r="A451" s="1">
        <v>2023</v>
      </c>
      <c r="B451" s="1" t="s">
        <v>9</v>
      </c>
      <c r="C451" s="1" t="s">
        <v>766</v>
      </c>
      <c r="D451" s="1" t="s">
        <v>876</v>
      </c>
      <c r="E451" s="1" t="s">
        <v>904</v>
      </c>
      <c r="F451" s="1" t="s">
        <v>905</v>
      </c>
      <c r="G451" s="5">
        <v>860</v>
      </c>
      <c r="H451" s="5">
        <f t="shared" ref="H451:I451" si="170">0+0+0</f>
        <v>0</v>
      </c>
      <c r="I451" s="5">
        <f t="shared" si="170"/>
        <v>0</v>
      </c>
      <c r="J451" s="1" t="s">
        <v>846</v>
      </c>
    </row>
    <row r="452" spans="1:10" ht="48">
      <c r="A452" s="1">
        <v>2023</v>
      </c>
      <c r="B452" s="1" t="s">
        <v>9</v>
      </c>
      <c r="C452" s="1" t="s">
        <v>766</v>
      </c>
      <c r="D452" s="1" t="s">
        <v>876</v>
      </c>
      <c r="E452" s="1" t="s">
        <v>906</v>
      </c>
      <c r="F452" s="1" t="s">
        <v>907</v>
      </c>
      <c r="G452" s="5">
        <v>89</v>
      </c>
      <c r="H452" s="5">
        <f>6+5+5</f>
        <v>16</v>
      </c>
      <c r="I452" s="5">
        <f>0+0+0</f>
        <v>0</v>
      </c>
      <c r="J452" s="1" t="s">
        <v>846</v>
      </c>
    </row>
    <row r="453" spans="1:10" ht="36">
      <c r="A453" s="1">
        <v>2023</v>
      </c>
      <c r="B453" s="1" t="s">
        <v>9</v>
      </c>
      <c r="C453" s="1" t="s">
        <v>766</v>
      </c>
      <c r="D453" s="1" t="s">
        <v>876</v>
      </c>
      <c r="E453" s="1" t="s">
        <v>908</v>
      </c>
      <c r="F453" s="1" t="s">
        <v>909</v>
      </c>
      <c r="G453" s="5">
        <v>0</v>
      </c>
      <c r="H453" s="5">
        <f t="shared" ref="H453:I453" si="171">0+0+0</f>
        <v>0</v>
      </c>
      <c r="I453" s="5">
        <f t="shared" si="171"/>
        <v>0</v>
      </c>
      <c r="J453" s="1" t="s">
        <v>846</v>
      </c>
    </row>
    <row r="454" spans="1:10" ht="48">
      <c r="A454" s="1">
        <v>2023</v>
      </c>
      <c r="B454" s="1" t="s">
        <v>9</v>
      </c>
      <c r="C454" s="1" t="s">
        <v>766</v>
      </c>
      <c r="D454" s="1" t="s">
        <v>876</v>
      </c>
      <c r="E454" s="1" t="s">
        <v>910</v>
      </c>
      <c r="F454" s="1" t="s">
        <v>911</v>
      </c>
      <c r="G454" s="5">
        <v>4151</v>
      </c>
      <c r="H454" s="5">
        <f t="shared" ref="H454:H455" si="172">442+442+442</f>
        <v>1326</v>
      </c>
      <c r="I454" s="5">
        <f t="shared" ref="I454:I455" si="173">0+0+0</f>
        <v>0</v>
      </c>
      <c r="J454" s="1" t="s">
        <v>846</v>
      </c>
    </row>
    <row r="455" spans="1:10" ht="48">
      <c r="A455" s="1">
        <v>2023</v>
      </c>
      <c r="B455" s="1" t="s">
        <v>9</v>
      </c>
      <c r="C455" s="1" t="s">
        <v>766</v>
      </c>
      <c r="D455" s="1" t="s">
        <v>876</v>
      </c>
      <c r="E455" s="1" t="s">
        <v>910</v>
      </c>
      <c r="F455" s="1" t="s">
        <v>911</v>
      </c>
      <c r="G455" s="5">
        <v>4145</v>
      </c>
      <c r="H455" s="5">
        <f t="shared" si="172"/>
        <v>1326</v>
      </c>
      <c r="I455" s="5">
        <f t="shared" si="173"/>
        <v>0</v>
      </c>
      <c r="J455" s="1" t="s">
        <v>846</v>
      </c>
    </row>
    <row r="456" spans="1:10" ht="48">
      <c r="A456" s="1">
        <v>2023</v>
      </c>
      <c r="B456" s="1" t="s">
        <v>9</v>
      </c>
      <c r="C456" s="1" t="s">
        <v>766</v>
      </c>
      <c r="D456" s="1" t="s">
        <v>912</v>
      </c>
      <c r="E456" s="1" t="s">
        <v>913</v>
      </c>
      <c r="F456" s="1" t="s">
        <v>914</v>
      </c>
      <c r="G456" s="2">
        <v>0</v>
      </c>
      <c r="H456" s="3">
        <f t="shared" ref="H456:H457" si="174">0+0+100%</f>
        <v>1</v>
      </c>
      <c r="I456" s="3">
        <f t="shared" ref="I456:I457" si="175">0+0+99%</f>
        <v>0.99</v>
      </c>
      <c r="J456" s="1" t="s">
        <v>846</v>
      </c>
    </row>
    <row r="457" spans="1:10" ht="36">
      <c r="A457" s="1">
        <v>2023</v>
      </c>
      <c r="B457" s="1" t="s">
        <v>9</v>
      </c>
      <c r="C457" s="1" t="s">
        <v>766</v>
      </c>
      <c r="D457" s="1" t="s">
        <v>912</v>
      </c>
      <c r="E457" s="1" t="s">
        <v>915</v>
      </c>
      <c r="F457" s="1" t="s">
        <v>916</v>
      </c>
      <c r="G457" s="2">
        <v>0</v>
      </c>
      <c r="H457" s="3">
        <f t="shared" si="174"/>
        <v>1</v>
      </c>
      <c r="I457" s="3">
        <f t="shared" si="175"/>
        <v>0.99</v>
      </c>
      <c r="J457" s="1" t="s">
        <v>846</v>
      </c>
    </row>
    <row r="458" spans="1:10" ht="36">
      <c r="A458" s="1">
        <v>2023</v>
      </c>
      <c r="B458" s="1" t="s">
        <v>9</v>
      </c>
      <c r="C458" s="1" t="s">
        <v>766</v>
      </c>
      <c r="D458" s="1" t="s">
        <v>912</v>
      </c>
      <c r="E458" s="1" t="s">
        <v>917</v>
      </c>
      <c r="F458" s="1" t="s">
        <v>918</v>
      </c>
      <c r="G458" s="2">
        <v>1204</v>
      </c>
      <c r="H458" s="4">
        <f t="shared" ref="H458:H459" si="176">8.33%+8.33%+8.33%</f>
        <v>0.24990000000000001</v>
      </c>
      <c r="I458" s="4">
        <f>8.42%+8.39%+8.77%</f>
        <v>0.25580000000000003</v>
      </c>
      <c r="J458" s="1" t="s">
        <v>846</v>
      </c>
    </row>
    <row r="459" spans="1:10" ht="36">
      <c r="A459" s="1">
        <v>2023</v>
      </c>
      <c r="B459" s="1" t="s">
        <v>9</v>
      </c>
      <c r="C459" s="1" t="s">
        <v>766</v>
      </c>
      <c r="D459" s="1" t="s">
        <v>912</v>
      </c>
      <c r="E459" s="1" t="s">
        <v>919</v>
      </c>
      <c r="F459" s="1" t="s">
        <v>920</v>
      </c>
      <c r="G459" s="2">
        <v>300</v>
      </c>
      <c r="H459" s="4">
        <f t="shared" si="176"/>
        <v>0.24990000000000001</v>
      </c>
      <c r="I459" s="4">
        <f>8.33%+8.33%+8.33%</f>
        <v>0.24990000000000001</v>
      </c>
      <c r="J459" s="1" t="s">
        <v>846</v>
      </c>
    </row>
    <row r="460" spans="1:10" ht="36">
      <c r="A460" s="1">
        <v>2023</v>
      </c>
      <c r="B460" s="1" t="s">
        <v>9</v>
      </c>
      <c r="C460" s="1" t="s">
        <v>766</v>
      </c>
      <c r="D460" s="1" t="s">
        <v>912</v>
      </c>
      <c r="E460" s="1" t="s">
        <v>921</v>
      </c>
      <c r="F460" s="1" t="s">
        <v>922</v>
      </c>
      <c r="G460" s="5">
        <v>201</v>
      </c>
      <c r="H460" s="5">
        <f t="shared" ref="H460:I460" si="177">0+0+0</f>
        <v>0</v>
      </c>
      <c r="I460" s="5">
        <f t="shared" si="177"/>
        <v>0</v>
      </c>
      <c r="J460" s="1" t="s">
        <v>846</v>
      </c>
    </row>
    <row r="461" spans="1:10" ht="36">
      <c r="A461" s="1">
        <v>2023</v>
      </c>
      <c r="B461" s="1" t="s">
        <v>9</v>
      </c>
      <c r="C461" s="1" t="s">
        <v>766</v>
      </c>
      <c r="D461" s="1" t="s">
        <v>912</v>
      </c>
      <c r="E461" s="1" t="s">
        <v>923</v>
      </c>
      <c r="F461" s="1" t="s">
        <v>924</v>
      </c>
      <c r="G461" s="5">
        <v>201</v>
      </c>
      <c r="H461" s="5">
        <f t="shared" ref="H461:I461" si="178">0+0+0</f>
        <v>0</v>
      </c>
      <c r="I461" s="5">
        <f t="shared" si="178"/>
        <v>0</v>
      </c>
      <c r="J461" s="1" t="s">
        <v>846</v>
      </c>
    </row>
    <row r="462" spans="1:10" ht="36">
      <c r="A462" s="1">
        <v>2023</v>
      </c>
      <c r="B462" s="1" t="s">
        <v>9</v>
      </c>
      <c r="C462" s="1" t="s">
        <v>766</v>
      </c>
      <c r="D462" s="1" t="s">
        <v>912</v>
      </c>
      <c r="E462" s="1" t="s">
        <v>925</v>
      </c>
      <c r="F462" s="1" t="s">
        <v>926</v>
      </c>
      <c r="G462" s="5">
        <v>201</v>
      </c>
      <c r="H462" s="5">
        <f t="shared" ref="H462:I462" si="179">0+0+0</f>
        <v>0</v>
      </c>
      <c r="I462" s="5">
        <f t="shared" si="179"/>
        <v>0</v>
      </c>
      <c r="J462" s="1" t="s">
        <v>846</v>
      </c>
    </row>
    <row r="463" spans="1:10" ht="36">
      <c r="A463" s="1">
        <v>2023</v>
      </c>
      <c r="B463" s="1" t="s">
        <v>9</v>
      </c>
      <c r="C463" s="1" t="s">
        <v>766</v>
      </c>
      <c r="D463" s="1" t="s">
        <v>912</v>
      </c>
      <c r="E463" s="1" t="s">
        <v>927</v>
      </c>
      <c r="F463" s="1" t="s">
        <v>928</v>
      </c>
      <c r="G463" s="5">
        <v>201</v>
      </c>
      <c r="H463" s="5">
        <f>10+5+5</f>
        <v>20</v>
      </c>
      <c r="I463" s="5">
        <f>0+0+0</f>
        <v>0</v>
      </c>
      <c r="J463" s="1" t="s">
        <v>846</v>
      </c>
    </row>
    <row r="464" spans="1:10" ht="60">
      <c r="A464" s="1">
        <v>2023</v>
      </c>
      <c r="B464" s="1" t="s">
        <v>9</v>
      </c>
      <c r="C464" s="1" t="s">
        <v>766</v>
      </c>
      <c r="D464" s="1" t="s">
        <v>912</v>
      </c>
      <c r="E464" s="1" t="s">
        <v>929</v>
      </c>
      <c r="F464" s="1" t="s">
        <v>930</v>
      </c>
      <c r="G464" s="5">
        <v>201</v>
      </c>
      <c r="H464" s="11">
        <f t="shared" ref="H464:I464" si="180">25+25+25</f>
        <v>75</v>
      </c>
      <c r="I464" s="11">
        <f t="shared" si="180"/>
        <v>75</v>
      </c>
      <c r="J464" s="1" t="s">
        <v>846</v>
      </c>
    </row>
    <row r="465" spans="1:10" ht="36">
      <c r="A465" s="1">
        <v>2023</v>
      </c>
      <c r="B465" s="1" t="s">
        <v>9</v>
      </c>
      <c r="C465" s="1" t="s">
        <v>766</v>
      </c>
      <c r="D465" s="1" t="s">
        <v>912</v>
      </c>
      <c r="E465" s="1" t="s">
        <v>931</v>
      </c>
      <c r="F465" s="1" t="s">
        <v>932</v>
      </c>
      <c r="G465" s="5">
        <v>201</v>
      </c>
      <c r="H465" s="3">
        <f>10%+10%+10%</f>
        <v>0.30000000000000004</v>
      </c>
      <c r="I465" s="3">
        <f>0%+0%+0%</f>
        <v>0</v>
      </c>
      <c r="J465" s="1" t="s">
        <v>846</v>
      </c>
    </row>
    <row r="466" spans="1:10" ht="36">
      <c r="A466" s="1">
        <v>2023</v>
      </c>
      <c r="B466" s="1" t="s">
        <v>9</v>
      </c>
      <c r="C466" s="1" t="s">
        <v>766</v>
      </c>
      <c r="D466" s="1" t="s">
        <v>912</v>
      </c>
      <c r="E466" s="1" t="s">
        <v>933</v>
      </c>
      <c r="F466" s="1" t="s">
        <v>934</v>
      </c>
      <c r="G466" s="5">
        <v>60</v>
      </c>
      <c r="H466" s="5">
        <f>20+20+20</f>
        <v>60</v>
      </c>
      <c r="I466" s="5">
        <f>60+65+70</f>
        <v>195</v>
      </c>
      <c r="J466" s="1" t="s">
        <v>846</v>
      </c>
    </row>
    <row r="467" spans="1:10" ht="36">
      <c r="A467" s="1">
        <v>2023</v>
      </c>
      <c r="B467" s="1" t="s">
        <v>9</v>
      </c>
      <c r="C467" s="1" t="s">
        <v>766</v>
      </c>
      <c r="D467" s="1" t="s">
        <v>912</v>
      </c>
      <c r="E467" s="1" t="s">
        <v>935</v>
      </c>
      <c r="F467" s="1" t="s">
        <v>936</v>
      </c>
      <c r="G467" s="5">
        <v>60</v>
      </c>
      <c r="H467" s="5">
        <f>0+50+0</f>
        <v>50</v>
      </c>
      <c r="I467" s="5">
        <f>0+100+50</f>
        <v>150</v>
      </c>
      <c r="J467" s="1" t="s">
        <v>846</v>
      </c>
    </row>
    <row r="468" spans="1:10" ht="36">
      <c r="A468" s="1">
        <v>2023</v>
      </c>
      <c r="B468" s="1" t="s">
        <v>9</v>
      </c>
      <c r="C468" s="1" t="s">
        <v>766</v>
      </c>
      <c r="D468" s="1" t="s">
        <v>912</v>
      </c>
      <c r="E468" s="1" t="s">
        <v>937</v>
      </c>
      <c r="F468" s="1" t="s">
        <v>938</v>
      </c>
      <c r="G468" s="5">
        <v>60</v>
      </c>
      <c r="H468" s="5">
        <f t="shared" ref="H468:H469" si="181">0+0+0</f>
        <v>0</v>
      </c>
      <c r="I468" s="5">
        <f>2+0+0</f>
        <v>2</v>
      </c>
      <c r="J468" s="1" t="s">
        <v>846</v>
      </c>
    </row>
    <row r="469" spans="1:10" ht="36">
      <c r="A469" s="1">
        <v>2023</v>
      </c>
      <c r="B469" s="1" t="s">
        <v>9</v>
      </c>
      <c r="C469" s="1" t="s">
        <v>766</v>
      </c>
      <c r="D469" s="1" t="s">
        <v>912</v>
      </c>
      <c r="E469" s="1" t="s">
        <v>939</v>
      </c>
      <c r="F469" s="1" t="s">
        <v>940</v>
      </c>
      <c r="G469" s="5">
        <v>60</v>
      </c>
      <c r="H469" s="5">
        <f t="shared" si="181"/>
        <v>0</v>
      </c>
      <c r="I469" s="5">
        <f>0+0+0</f>
        <v>0</v>
      </c>
      <c r="J469" s="1" t="s">
        <v>846</v>
      </c>
    </row>
    <row r="470" spans="1:10" ht="36">
      <c r="A470" s="1">
        <v>2023</v>
      </c>
      <c r="B470" s="1" t="s">
        <v>9</v>
      </c>
      <c r="C470" s="1" t="s">
        <v>766</v>
      </c>
      <c r="D470" s="1" t="s">
        <v>912</v>
      </c>
      <c r="E470" s="1" t="s">
        <v>941</v>
      </c>
      <c r="F470" s="1" t="s">
        <v>942</v>
      </c>
      <c r="G470" s="5">
        <v>60</v>
      </c>
      <c r="H470" s="5">
        <f t="shared" ref="H470:I470" si="182">20+20+20</f>
        <v>60</v>
      </c>
      <c r="I470" s="5">
        <f t="shared" si="182"/>
        <v>60</v>
      </c>
      <c r="J470" s="1" t="s">
        <v>846</v>
      </c>
    </row>
    <row r="471" spans="1:10" ht="36">
      <c r="A471" s="1">
        <v>2023</v>
      </c>
      <c r="B471" s="1" t="s">
        <v>9</v>
      </c>
      <c r="C471" s="1" t="s">
        <v>766</v>
      </c>
      <c r="D471" s="1" t="s">
        <v>943</v>
      </c>
      <c r="E471" s="1" t="s">
        <v>944</v>
      </c>
      <c r="F471" s="1" t="s">
        <v>845</v>
      </c>
      <c r="G471" s="2">
        <v>0</v>
      </c>
      <c r="H471" s="3">
        <f t="shared" ref="H471:H472" si="183">0+0+100%</f>
        <v>1</v>
      </c>
      <c r="I471" s="3">
        <f t="shared" ref="I471:I474" si="184">0+0+0</f>
        <v>0</v>
      </c>
      <c r="J471" s="1" t="s">
        <v>846</v>
      </c>
    </row>
    <row r="472" spans="1:10" ht="36">
      <c r="A472" s="1">
        <v>2023</v>
      </c>
      <c r="B472" s="1" t="s">
        <v>9</v>
      </c>
      <c r="C472" s="1" t="s">
        <v>766</v>
      </c>
      <c r="D472" s="1" t="s">
        <v>943</v>
      </c>
      <c r="E472" s="1" t="s">
        <v>945</v>
      </c>
      <c r="F472" s="1" t="s">
        <v>946</v>
      </c>
      <c r="G472" s="2">
        <v>0</v>
      </c>
      <c r="H472" s="3">
        <f t="shared" si="183"/>
        <v>1</v>
      </c>
      <c r="I472" s="3">
        <f t="shared" si="184"/>
        <v>0</v>
      </c>
      <c r="J472" s="1" t="s">
        <v>846</v>
      </c>
    </row>
    <row r="473" spans="1:10" ht="96">
      <c r="A473" s="1">
        <v>2023</v>
      </c>
      <c r="B473" s="1" t="s">
        <v>9</v>
      </c>
      <c r="C473" s="1" t="s">
        <v>766</v>
      </c>
      <c r="D473" s="1" t="s">
        <v>943</v>
      </c>
      <c r="E473" s="1" t="s">
        <v>947</v>
      </c>
      <c r="F473" s="1" t="s">
        <v>948</v>
      </c>
      <c r="G473" s="3">
        <v>0.25</v>
      </c>
      <c r="H473" s="4">
        <f>8.57%+7.14%+7.14%</f>
        <v>0.22849999999999998</v>
      </c>
      <c r="I473" s="3">
        <f t="shared" si="184"/>
        <v>0</v>
      </c>
      <c r="J473" s="1" t="s">
        <v>846</v>
      </c>
    </row>
    <row r="474" spans="1:10" ht="48">
      <c r="A474" s="1">
        <v>2023</v>
      </c>
      <c r="B474" s="1" t="s">
        <v>9</v>
      </c>
      <c r="C474" s="1" t="s">
        <v>766</v>
      </c>
      <c r="D474" s="1" t="s">
        <v>943</v>
      </c>
      <c r="E474" s="1" t="s">
        <v>949</v>
      </c>
      <c r="F474" s="1" t="s">
        <v>950</v>
      </c>
      <c r="G474" s="3">
        <v>0</v>
      </c>
      <c r="H474" s="4">
        <f>8.37%+8.37%+8.03%</f>
        <v>0.24769999999999998</v>
      </c>
      <c r="I474" s="3">
        <f t="shared" si="184"/>
        <v>0</v>
      </c>
      <c r="J474" s="1" t="s">
        <v>846</v>
      </c>
    </row>
    <row r="475" spans="1:10" ht="48">
      <c r="A475" s="1">
        <v>2023</v>
      </c>
      <c r="B475" s="1" t="s">
        <v>9</v>
      </c>
      <c r="C475" s="1" t="s">
        <v>766</v>
      </c>
      <c r="D475" s="1" t="s">
        <v>943</v>
      </c>
      <c r="E475" s="1" t="s">
        <v>951</v>
      </c>
      <c r="F475" s="1" t="s">
        <v>952</v>
      </c>
      <c r="G475" s="11">
        <v>2</v>
      </c>
      <c r="H475" s="11">
        <f t="shared" ref="H475:I475" si="185">0+0+0</f>
        <v>0</v>
      </c>
      <c r="I475" s="11">
        <f t="shared" si="185"/>
        <v>0</v>
      </c>
      <c r="J475" s="1" t="s">
        <v>846</v>
      </c>
    </row>
    <row r="476" spans="1:10" ht="36">
      <c r="A476" s="1">
        <v>2023</v>
      </c>
      <c r="B476" s="1" t="s">
        <v>9</v>
      </c>
      <c r="C476" s="1" t="s">
        <v>766</v>
      </c>
      <c r="D476" s="1" t="s">
        <v>943</v>
      </c>
      <c r="E476" s="1" t="s">
        <v>953</v>
      </c>
      <c r="F476" s="1" t="s">
        <v>954</v>
      </c>
      <c r="G476" s="11">
        <v>2</v>
      </c>
      <c r="H476" s="11">
        <f>1+0+0</f>
        <v>1</v>
      </c>
      <c r="I476" s="11">
        <f t="shared" ref="I476:I478" si="186">0+0+0</f>
        <v>0</v>
      </c>
      <c r="J476" s="1" t="s">
        <v>846</v>
      </c>
    </row>
    <row r="477" spans="1:10" ht="36">
      <c r="A477" s="1">
        <v>2023</v>
      </c>
      <c r="B477" s="1" t="s">
        <v>9</v>
      </c>
      <c r="C477" s="1" t="s">
        <v>766</v>
      </c>
      <c r="D477" s="1" t="s">
        <v>943</v>
      </c>
      <c r="E477" s="1" t="s">
        <v>955</v>
      </c>
      <c r="F477" s="1" t="s">
        <v>956</v>
      </c>
      <c r="G477" s="11">
        <v>1</v>
      </c>
      <c r="H477" s="11">
        <f t="shared" ref="H477:H478" si="187">15+15+15</f>
        <v>45</v>
      </c>
      <c r="I477" s="11">
        <f t="shared" si="186"/>
        <v>0</v>
      </c>
      <c r="J477" s="1" t="s">
        <v>846</v>
      </c>
    </row>
    <row r="478" spans="1:10" ht="36">
      <c r="A478" s="1">
        <v>2023</v>
      </c>
      <c r="B478" s="1" t="s">
        <v>9</v>
      </c>
      <c r="C478" s="1" t="s">
        <v>766</v>
      </c>
      <c r="D478" s="1" t="s">
        <v>943</v>
      </c>
      <c r="E478" s="1" t="s">
        <v>955</v>
      </c>
      <c r="F478" s="1" t="s">
        <v>956</v>
      </c>
      <c r="G478" s="11">
        <v>1</v>
      </c>
      <c r="H478" s="11">
        <f t="shared" si="187"/>
        <v>45</v>
      </c>
      <c r="I478" s="11">
        <f t="shared" si="186"/>
        <v>0</v>
      </c>
      <c r="J478" s="1" t="s">
        <v>846</v>
      </c>
    </row>
    <row r="479" spans="1:10" ht="36">
      <c r="A479" s="1">
        <v>2023</v>
      </c>
      <c r="B479" s="1" t="s">
        <v>9</v>
      </c>
      <c r="C479" s="1" t="s">
        <v>10</v>
      </c>
      <c r="D479" s="1" t="s">
        <v>957</v>
      </c>
      <c r="E479" s="1" t="s">
        <v>958</v>
      </c>
      <c r="F479" s="1" t="s">
        <v>959</v>
      </c>
      <c r="G479" s="2">
        <v>0</v>
      </c>
      <c r="H479" s="4">
        <v>1</v>
      </c>
      <c r="I479" s="4">
        <v>1</v>
      </c>
      <c r="J479" s="1" t="s">
        <v>960</v>
      </c>
    </row>
    <row r="480" spans="1:10" ht="24">
      <c r="A480" s="1">
        <v>2023</v>
      </c>
      <c r="B480" s="1" t="s">
        <v>9</v>
      </c>
      <c r="C480" s="1" t="s">
        <v>10</v>
      </c>
      <c r="D480" s="1" t="s">
        <v>957</v>
      </c>
      <c r="E480" s="1" t="s">
        <v>961</v>
      </c>
      <c r="F480" s="1" t="s">
        <v>55</v>
      </c>
      <c r="G480" s="2">
        <v>0</v>
      </c>
      <c r="H480" s="4">
        <v>1</v>
      </c>
      <c r="I480" s="4">
        <v>1</v>
      </c>
      <c r="J480" s="1" t="s">
        <v>960</v>
      </c>
    </row>
    <row r="481" spans="1:10" ht="24">
      <c r="A481" s="1">
        <v>2023</v>
      </c>
      <c r="B481" s="1" t="s">
        <v>9</v>
      </c>
      <c r="C481" s="1" t="s">
        <v>10</v>
      </c>
      <c r="D481" s="1" t="s">
        <v>957</v>
      </c>
      <c r="E481" s="1" t="s">
        <v>963</v>
      </c>
      <c r="F481" s="1" t="s">
        <v>962</v>
      </c>
      <c r="G481" s="11">
        <v>7130</v>
      </c>
      <c r="H481" s="11">
        <v>1600</v>
      </c>
      <c r="I481" s="11">
        <v>1741</v>
      </c>
      <c r="J481" s="1" t="s">
        <v>960</v>
      </c>
    </row>
    <row r="482" spans="1:10" ht="24">
      <c r="A482" s="1">
        <v>2023</v>
      </c>
      <c r="B482" s="1" t="s">
        <v>9</v>
      </c>
      <c r="C482" s="1" t="s">
        <v>10</v>
      </c>
      <c r="D482" s="1" t="s">
        <v>957</v>
      </c>
      <c r="E482" s="1" t="s">
        <v>965</v>
      </c>
      <c r="F482" s="1" t="s">
        <v>966</v>
      </c>
      <c r="G482" s="2">
        <v>518</v>
      </c>
      <c r="H482" s="2">
        <v>150</v>
      </c>
      <c r="I482" s="2">
        <v>203</v>
      </c>
      <c r="J482" s="1" t="s">
        <v>960</v>
      </c>
    </row>
    <row r="483" spans="1:10" ht="24">
      <c r="A483" s="1">
        <v>2023</v>
      </c>
      <c r="B483" s="1" t="s">
        <v>9</v>
      </c>
      <c r="C483" s="1" t="s">
        <v>10</v>
      </c>
      <c r="D483" s="1" t="s">
        <v>957</v>
      </c>
      <c r="E483" s="1" t="s">
        <v>967</v>
      </c>
      <c r="F483" s="1" t="s">
        <v>968</v>
      </c>
      <c r="G483" s="2">
        <v>1783</v>
      </c>
      <c r="H483" s="2">
        <v>401</v>
      </c>
      <c r="I483" s="2">
        <v>435</v>
      </c>
      <c r="J483" s="1" t="s">
        <v>960</v>
      </c>
    </row>
    <row r="484" spans="1:10" ht="24">
      <c r="A484" s="1">
        <v>2023</v>
      </c>
      <c r="B484" s="1" t="s">
        <v>9</v>
      </c>
      <c r="C484" s="1" t="s">
        <v>10</v>
      </c>
      <c r="D484" s="1" t="s">
        <v>957</v>
      </c>
      <c r="E484" s="1" t="s">
        <v>969</v>
      </c>
      <c r="F484" s="1" t="s">
        <v>970</v>
      </c>
      <c r="G484" s="2">
        <v>1783</v>
      </c>
      <c r="H484" s="2">
        <v>401</v>
      </c>
      <c r="I484" s="2">
        <v>435</v>
      </c>
      <c r="J484" s="1" t="s">
        <v>960</v>
      </c>
    </row>
    <row r="485" spans="1:10" ht="24">
      <c r="A485" s="1">
        <v>2023</v>
      </c>
      <c r="B485" s="1" t="s">
        <v>9</v>
      </c>
      <c r="C485" s="1" t="s">
        <v>10</v>
      </c>
      <c r="D485" s="1" t="s">
        <v>957</v>
      </c>
      <c r="E485" s="1" t="s">
        <v>971</v>
      </c>
      <c r="F485" s="1" t="s">
        <v>972</v>
      </c>
      <c r="G485" s="2">
        <v>1783</v>
      </c>
      <c r="H485" s="2">
        <v>401</v>
      </c>
      <c r="I485" s="2">
        <v>435</v>
      </c>
      <c r="J485" s="1" t="s">
        <v>960</v>
      </c>
    </row>
    <row r="486" spans="1:10" ht="24">
      <c r="A486" s="1">
        <v>2023</v>
      </c>
      <c r="B486" s="1" t="s">
        <v>9</v>
      </c>
      <c r="C486" s="1" t="s">
        <v>10</v>
      </c>
      <c r="D486" s="1" t="s">
        <v>957</v>
      </c>
      <c r="E486" s="1" t="s">
        <v>973</v>
      </c>
      <c r="F486" s="1" t="s">
        <v>974</v>
      </c>
      <c r="G486" s="2">
        <v>1783</v>
      </c>
      <c r="H486" s="2">
        <v>401</v>
      </c>
      <c r="I486" s="2">
        <v>435</v>
      </c>
      <c r="J486" s="1" t="s">
        <v>960</v>
      </c>
    </row>
    <row r="487" spans="1:10" ht="24">
      <c r="A487" s="1">
        <v>2023</v>
      </c>
      <c r="B487" s="1" t="s">
        <v>9</v>
      </c>
      <c r="C487" s="1" t="s">
        <v>10</v>
      </c>
      <c r="D487" s="1" t="s">
        <v>957</v>
      </c>
      <c r="E487" s="1" t="s">
        <v>975</v>
      </c>
      <c r="F487" s="1" t="s">
        <v>152</v>
      </c>
      <c r="G487" s="2">
        <v>129.5</v>
      </c>
      <c r="H487" s="2">
        <v>37.5</v>
      </c>
      <c r="I487" s="2">
        <v>51</v>
      </c>
      <c r="J487" s="1" t="s">
        <v>960</v>
      </c>
    </row>
    <row r="488" spans="1:10" ht="60">
      <c r="A488" s="1">
        <v>2023</v>
      </c>
      <c r="B488" s="1" t="s">
        <v>9</v>
      </c>
      <c r="C488" s="1" t="s">
        <v>10</v>
      </c>
      <c r="D488" s="1" t="s">
        <v>957</v>
      </c>
      <c r="E488" s="1" t="s">
        <v>976</v>
      </c>
      <c r="F488" s="1" t="s">
        <v>977</v>
      </c>
      <c r="G488" s="2">
        <v>129.5</v>
      </c>
      <c r="H488" s="2">
        <v>37.5</v>
      </c>
      <c r="I488" s="2">
        <v>51</v>
      </c>
      <c r="J488" s="1" t="s">
        <v>960</v>
      </c>
    </row>
    <row r="489" spans="1:10" ht="36">
      <c r="A489" s="1">
        <v>2023</v>
      </c>
      <c r="B489" s="1" t="s">
        <v>9</v>
      </c>
      <c r="C489" s="1" t="s">
        <v>10</v>
      </c>
      <c r="D489" s="1" t="s">
        <v>957</v>
      </c>
      <c r="E489" s="1" t="s">
        <v>978</v>
      </c>
      <c r="F489" s="1" t="s">
        <v>979</v>
      </c>
      <c r="G489" s="2">
        <v>129.5</v>
      </c>
      <c r="H489" s="2">
        <v>37.5</v>
      </c>
      <c r="I489" s="2">
        <v>51</v>
      </c>
      <c r="J489" s="1" t="s">
        <v>960</v>
      </c>
    </row>
    <row r="490" spans="1:10" ht="24">
      <c r="A490" s="1">
        <v>2023</v>
      </c>
      <c r="B490" s="1" t="s">
        <v>9</v>
      </c>
      <c r="C490" s="1" t="s">
        <v>10</v>
      </c>
      <c r="D490" s="1" t="s">
        <v>957</v>
      </c>
      <c r="E490" s="1" t="s">
        <v>980</v>
      </c>
      <c r="F490" s="1" t="s">
        <v>981</v>
      </c>
      <c r="G490" s="2">
        <v>129.5</v>
      </c>
      <c r="H490" s="2">
        <v>37.5</v>
      </c>
      <c r="I490" s="2">
        <v>51</v>
      </c>
      <c r="J490" s="1" t="s">
        <v>960</v>
      </c>
    </row>
    <row r="491" spans="1:10" ht="24">
      <c r="A491" s="1">
        <v>2023</v>
      </c>
      <c r="B491" s="1" t="s">
        <v>9</v>
      </c>
      <c r="C491" s="1" t="s">
        <v>10</v>
      </c>
      <c r="D491" s="1" t="s">
        <v>982</v>
      </c>
      <c r="E491" s="1" t="s">
        <v>983</v>
      </c>
      <c r="F491" s="1" t="s">
        <v>984</v>
      </c>
      <c r="G491" s="2">
        <v>0</v>
      </c>
      <c r="H491" s="4">
        <v>1</v>
      </c>
      <c r="I491" s="4">
        <v>1</v>
      </c>
      <c r="J491" s="1" t="s">
        <v>985</v>
      </c>
    </row>
    <row r="492" spans="1:10" ht="24">
      <c r="A492" s="1">
        <v>2023</v>
      </c>
      <c r="B492" s="1" t="s">
        <v>9</v>
      </c>
      <c r="C492" s="1" t="s">
        <v>10</v>
      </c>
      <c r="D492" s="1" t="s">
        <v>982</v>
      </c>
      <c r="E492" s="1" t="s">
        <v>986</v>
      </c>
      <c r="F492" s="1" t="s">
        <v>987</v>
      </c>
      <c r="G492" s="2">
        <v>0</v>
      </c>
      <c r="H492" s="4">
        <v>1</v>
      </c>
      <c r="I492" s="4">
        <v>1</v>
      </c>
      <c r="J492" s="1" t="s">
        <v>985</v>
      </c>
    </row>
    <row r="493" spans="1:10" ht="24">
      <c r="A493" s="1">
        <v>2023</v>
      </c>
      <c r="B493" s="1" t="s">
        <v>9</v>
      </c>
      <c r="C493" s="1" t="s">
        <v>10</v>
      </c>
      <c r="D493" s="1" t="s">
        <v>982</v>
      </c>
      <c r="E493" s="1" t="s">
        <v>988</v>
      </c>
      <c r="F493" s="1" t="s">
        <v>320</v>
      </c>
      <c r="G493" s="11">
        <v>17480</v>
      </c>
      <c r="H493" s="11">
        <v>3100</v>
      </c>
      <c r="I493" s="11">
        <v>3227</v>
      </c>
      <c r="J493" s="1" t="s">
        <v>985</v>
      </c>
    </row>
    <row r="494" spans="1:10" ht="36">
      <c r="A494" s="1">
        <v>2023</v>
      </c>
      <c r="B494" s="1" t="s">
        <v>9</v>
      </c>
      <c r="C494" s="1" t="s">
        <v>10</v>
      </c>
      <c r="D494" s="1" t="s">
        <v>982</v>
      </c>
      <c r="E494" s="1" t="s">
        <v>989</v>
      </c>
      <c r="F494" s="1" t="s">
        <v>990</v>
      </c>
      <c r="G494" s="11">
        <v>5970</v>
      </c>
      <c r="H494" s="11">
        <v>975</v>
      </c>
      <c r="I494" s="11">
        <v>1833</v>
      </c>
      <c r="J494" s="1" t="s">
        <v>985</v>
      </c>
    </row>
    <row r="495" spans="1:10" ht="36">
      <c r="A495" s="1">
        <v>2023</v>
      </c>
      <c r="B495" s="1" t="s">
        <v>9</v>
      </c>
      <c r="C495" s="1" t="s">
        <v>10</v>
      </c>
      <c r="D495" s="1" t="s">
        <v>982</v>
      </c>
      <c r="E495" s="1" t="s">
        <v>991</v>
      </c>
      <c r="F495" s="1" t="s">
        <v>992</v>
      </c>
      <c r="G495" s="11">
        <v>1589</v>
      </c>
      <c r="H495" s="11">
        <v>282</v>
      </c>
      <c r="I495" s="2">
        <v>294</v>
      </c>
      <c r="J495" s="1" t="s">
        <v>985</v>
      </c>
    </row>
    <row r="496" spans="1:10" ht="36">
      <c r="A496" s="1">
        <v>2023</v>
      </c>
      <c r="B496" s="1" t="s">
        <v>9</v>
      </c>
      <c r="C496" s="1" t="s">
        <v>10</v>
      </c>
      <c r="D496" s="1" t="s">
        <v>982</v>
      </c>
      <c r="E496" s="1" t="s">
        <v>993</v>
      </c>
      <c r="F496" s="1" t="s">
        <v>994</v>
      </c>
      <c r="G496" s="11">
        <v>1589</v>
      </c>
      <c r="H496" s="11">
        <v>282</v>
      </c>
      <c r="I496" s="2">
        <v>294</v>
      </c>
      <c r="J496" s="1" t="s">
        <v>985</v>
      </c>
    </row>
    <row r="497" spans="1:10" ht="48">
      <c r="A497" s="1">
        <v>2023</v>
      </c>
      <c r="B497" s="1" t="s">
        <v>9</v>
      </c>
      <c r="C497" s="1" t="s">
        <v>10</v>
      </c>
      <c r="D497" s="1" t="s">
        <v>982</v>
      </c>
      <c r="E497" s="1" t="s">
        <v>995</v>
      </c>
      <c r="F497" s="1" t="s">
        <v>996</v>
      </c>
      <c r="G497" s="11">
        <v>1589</v>
      </c>
      <c r="H497" s="11">
        <v>282</v>
      </c>
      <c r="I497" s="2">
        <v>294</v>
      </c>
      <c r="J497" s="1" t="s">
        <v>985</v>
      </c>
    </row>
    <row r="498" spans="1:10" ht="48">
      <c r="A498" s="1">
        <v>2023</v>
      </c>
      <c r="B498" s="1" t="s">
        <v>9</v>
      </c>
      <c r="C498" s="1" t="s">
        <v>10</v>
      </c>
      <c r="D498" s="1" t="s">
        <v>982</v>
      </c>
      <c r="E498" s="1" t="s">
        <v>997</v>
      </c>
      <c r="F498" s="1" t="s">
        <v>998</v>
      </c>
      <c r="G498" s="11">
        <v>1589</v>
      </c>
      <c r="H498" s="11">
        <v>282</v>
      </c>
      <c r="I498" s="2">
        <v>294</v>
      </c>
      <c r="J498" s="1" t="s">
        <v>985</v>
      </c>
    </row>
    <row r="499" spans="1:10" ht="36">
      <c r="A499" s="1">
        <v>2023</v>
      </c>
      <c r="B499" s="1" t="s">
        <v>9</v>
      </c>
      <c r="C499" s="1" t="s">
        <v>10</v>
      </c>
      <c r="D499" s="1" t="s">
        <v>982</v>
      </c>
      <c r="E499" s="1" t="s">
        <v>999</v>
      </c>
      <c r="F499" s="1" t="s">
        <v>1000</v>
      </c>
      <c r="G499" s="11">
        <v>1589</v>
      </c>
      <c r="H499" s="11">
        <v>282</v>
      </c>
      <c r="I499" s="2">
        <v>294</v>
      </c>
      <c r="J499" s="1" t="s">
        <v>985</v>
      </c>
    </row>
    <row r="500" spans="1:10" ht="48">
      <c r="A500" s="1">
        <v>2023</v>
      </c>
      <c r="B500" s="1" t="s">
        <v>9</v>
      </c>
      <c r="C500" s="1" t="s">
        <v>10</v>
      </c>
      <c r="D500" s="1" t="s">
        <v>982</v>
      </c>
      <c r="E500" s="1" t="s">
        <v>1001</v>
      </c>
      <c r="F500" s="1" t="s">
        <v>1002</v>
      </c>
      <c r="G500" s="11">
        <v>1589</v>
      </c>
      <c r="H500" s="11">
        <v>282</v>
      </c>
      <c r="I500" s="2">
        <v>294</v>
      </c>
      <c r="J500" s="1" t="s">
        <v>985</v>
      </c>
    </row>
    <row r="501" spans="1:10" ht="48">
      <c r="A501" s="1">
        <v>2023</v>
      </c>
      <c r="B501" s="1" t="s">
        <v>9</v>
      </c>
      <c r="C501" s="1" t="s">
        <v>10</v>
      </c>
      <c r="D501" s="1" t="s">
        <v>982</v>
      </c>
      <c r="E501" s="1" t="s">
        <v>1003</v>
      </c>
      <c r="F501" s="1" t="s">
        <v>1004</v>
      </c>
      <c r="G501" s="11">
        <v>1589</v>
      </c>
      <c r="H501" s="11">
        <v>282</v>
      </c>
      <c r="I501" s="2">
        <v>294</v>
      </c>
      <c r="J501" s="1" t="s">
        <v>985</v>
      </c>
    </row>
    <row r="502" spans="1:10" ht="24">
      <c r="A502" s="1">
        <v>2023</v>
      </c>
      <c r="B502" s="1" t="s">
        <v>9</v>
      </c>
      <c r="C502" s="1" t="s">
        <v>10</v>
      </c>
      <c r="D502" s="1" t="s">
        <v>982</v>
      </c>
      <c r="E502" s="1" t="s">
        <v>1005</v>
      </c>
      <c r="F502" s="1" t="s">
        <v>1006</v>
      </c>
      <c r="G502" s="11">
        <v>1589</v>
      </c>
      <c r="H502" s="11">
        <v>282</v>
      </c>
      <c r="I502" s="2">
        <v>294</v>
      </c>
      <c r="J502" s="1" t="s">
        <v>985</v>
      </c>
    </row>
    <row r="503" spans="1:10" ht="48">
      <c r="A503" s="1">
        <v>2023</v>
      </c>
      <c r="B503" s="1" t="s">
        <v>9</v>
      </c>
      <c r="C503" s="1" t="s">
        <v>10</v>
      </c>
      <c r="D503" s="1" t="s">
        <v>982</v>
      </c>
      <c r="E503" s="1" t="s">
        <v>1007</v>
      </c>
      <c r="F503" s="1" t="s">
        <v>1008</v>
      </c>
      <c r="G503" s="11">
        <v>1589</v>
      </c>
      <c r="H503" s="11">
        <v>282</v>
      </c>
      <c r="I503" s="2">
        <v>294</v>
      </c>
      <c r="J503" s="1" t="s">
        <v>985</v>
      </c>
    </row>
    <row r="504" spans="1:10" ht="24">
      <c r="A504" s="1">
        <v>2023</v>
      </c>
      <c r="B504" s="1" t="s">
        <v>9</v>
      </c>
      <c r="C504" s="1" t="s">
        <v>10</v>
      </c>
      <c r="D504" s="1" t="s">
        <v>982</v>
      </c>
      <c r="E504" s="1" t="s">
        <v>1009</v>
      </c>
      <c r="F504" s="1" t="s">
        <v>1010</v>
      </c>
      <c r="G504" s="11">
        <v>1589</v>
      </c>
      <c r="H504" s="11">
        <v>282</v>
      </c>
      <c r="I504" s="2">
        <v>294</v>
      </c>
      <c r="J504" s="1" t="s">
        <v>985</v>
      </c>
    </row>
    <row r="505" spans="1:10" ht="24">
      <c r="A505" s="1">
        <v>2023</v>
      </c>
      <c r="B505" s="1" t="s">
        <v>9</v>
      </c>
      <c r="C505" s="1" t="s">
        <v>10</v>
      </c>
      <c r="D505" s="1" t="s">
        <v>982</v>
      </c>
      <c r="E505" s="1" t="s">
        <v>1009</v>
      </c>
      <c r="F505" s="1" t="s">
        <v>1010</v>
      </c>
      <c r="G505" s="11">
        <v>1589</v>
      </c>
      <c r="H505" s="11">
        <v>282</v>
      </c>
      <c r="I505" s="2">
        <v>294</v>
      </c>
      <c r="J505" s="1" t="s">
        <v>985</v>
      </c>
    </row>
    <row r="506" spans="1:10" ht="24">
      <c r="A506" s="1">
        <v>2023</v>
      </c>
      <c r="B506" s="1" t="s">
        <v>9</v>
      </c>
      <c r="C506" s="1" t="s">
        <v>10</v>
      </c>
      <c r="D506" s="1" t="s">
        <v>982</v>
      </c>
      <c r="E506" s="1" t="s">
        <v>1011</v>
      </c>
      <c r="F506" s="1" t="s">
        <v>1012</v>
      </c>
      <c r="G506" s="2">
        <v>1194</v>
      </c>
      <c r="H506" s="2">
        <v>195</v>
      </c>
      <c r="I506" s="2">
        <v>366</v>
      </c>
      <c r="J506" s="1" t="s">
        <v>985</v>
      </c>
    </row>
    <row r="507" spans="1:10" ht="24">
      <c r="A507" s="1">
        <v>2023</v>
      </c>
      <c r="B507" s="1" t="s">
        <v>9</v>
      </c>
      <c r="C507" s="1" t="s">
        <v>10</v>
      </c>
      <c r="D507" s="1" t="s">
        <v>982</v>
      </c>
      <c r="E507" s="1" t="s">
        <v>1013</v>
      </c>
      <c r="F507" s="1" t="s">
        <v>1014</v>
      </c>
      <c r="G507" s="2">
        <v>1194</v>
      </c>
      <c r="H507" s="2">
        <v>195</v>
      </c>
      <c r="I507" s="2">
        <v>366</v>
      </c>
      <c r="J507" s="1" t="s">
        <v>985</v>
      </c>
    </row>
    <row r="508" spans="1:10" ht="36">
      <c r="A508" s="1">
        <v>2023</v>
      </c>
      <c r="B508" s="1" t="s">
        <v>9</v>
      </c>
      <c r="C508" s="1" t="s">
        <v>10</v>
      </c>
      <c r="D508" s="1" t="s">
        <v>982</v>
      </c>
      <c r="E508" s="1" t="s">
        <v>1015</v>
      </c>
      <c r="F508" s="1" t="s">
        <v>1016</v>
      </c>
      <c r="G508" s="2">
        <v>1194</v>
      </c>
      <c r="H508" s="2">
        <v>195</v>
      </c>
      <c r="I508" s="2">
        <v>366</v>
      </c>
      <c r="J508" s="1" t="s">
        <v>985</v>
      </c>
    </row>
    <row r="509" spans="1:10" ht="24">
      <c r="A509" s="1">
        <v>2023</v>
      </c>
      <c r="B509" s="1" t="s">
        <v>9</v>
      </c>
      <c r="C509" s="1" t="s">
        <v>10</v>
      </c>
      <c r="D509" s="1" t="s">
        <v>982</v>
      </c>
      <c r="E509" s="1" t="s">
        <v>1017</v>
      </c>
      <c r="F509" s="1" t="s">
        <v>1018</v>
      </c>
      <c r="G509" s="2">
        <v>1194</v>
      </c>
      <c r="H509" s="2">
        <v>195</v>
      </c>
      <c r="I509" s="2">
        <v>366</v>
      </c>
      <c r="J509" s="1" t="s">
        <v>985</v>
      </c>
    </row>
    <row r="510" spans="1:10" ht="24">
      <c r="A510" s="1">
        <v>2023</v>
      </c>
      <c r="B510" s="1" t="s">
        <v>9</v>
      </c>
      <c r="C510" s="1" t="s">
        <v>10</v>
      </c>
      <c r="D510" s="1" t="s">
        <v>982</v>
      </c>
      <c r="E510" s="1" t="s">
        <v>1019</v>
      </c>
      <c r="F510" s="1" t="s">
        <v>1020</v>
      </c>
      <c r="G510" s="2">
        <v>1194</v>
      </c>
      <c r="H510" s="2">
        <v>195</v>
      </c>
      <c r="I510" s="2">
        <v>366</v>
      </c>
      <c r="J510" s="1" t="s">
        <v>985</v>
      </c>
    </row>
    <row r="511" spans="1:10" ht="48">
      <c r="A511" s="1">
        <v>2023</v>
      </c>
      <c r="B511" s="1" t="s">
        <v>9</v>
      </c>
      <c r="C511" s="1" t="s">
        <v>10</v>
      </c>
      <c r="D511" s="1" t="s">
        <v>1021</v>
      </c>
      <c r="E511" s="1" t="s">
        <v>1022</v>
      </c>
      <c r="F511" s="1" t="s">
        <v>1023</v>
      </c>
      <c r="G511" s="2">
        <v>0</v>
      </c>
      <c r="H511" s="4">
        <v>1</v>
      </c>
      <c r="I511" s="4">
        <v>1</v>
      </c>
      <c r="J511" s="1" t="s">
        <v>1024</v>
      </c>
    </row>
    <row r="512" spans="1:10" ht="36">
      <c r="A512" s="1">
        <v>2023</v>
      </c>
      <c r="B512" s="1" t="s">
        <v>9</v>
      </c>
      <c r="C512" s="1" t="s">
        <v>10</v>
      </c>
      <c r="D512" s="1" t="s">
        <v>1021</v>
      </c>
      <c r="E512" s="1" t="s">
        <v>1025</v>
      </c>
      <c r="F512" s="1" t="s">
        <v>1026</v>
      </c>
      <c r="G512" s="2">
        <v>0</v>
      </c>
      <c r="H512" s="4">
        <v>1</v>
      </c>
      <c r="I512" s="4">
        <v>1</v>
      </c>
      <c r="J512" s="1" t="s">
        <v>1024</v>
      </c>
    </row>
    <row r="513" spans="1:10" ht="36">
      <c r="A513" s="1">
        <v>2023</v>
      </c>
      <c r="B513" s="1" t="s">
        <v>9</v>
      </c>
      <c r="C513" s="1" t="s">
        <v>10</v>
      </c>
      <c r="D513" s="1" t="s">
        <v>1021</v>
      </c>
      <c r="E513" s="1" t="s">
        <v>1027</v>
      </c>
      <c r="F513" s="1" t="s">
        <v>1028</v>
      </c>
      <c r="G513" s="11">
        <v>4587</v>
      </c>
      <c r="H513" s="2">
        <f>200+200+50</f>
        <v>450</v>
      </c>
      <c r="I513" s="11">
        <f>338+293+219</f>
        <v>850</v>
      </c>
      <c r="J513" s="1" t="s">
        <v>1024</v>
      </c>
    </row>
    <row r="514" spans="1:10" ht="24">
      <c r="A514" s="1">
        <v>2023</v>
      </c>
      <c r="B514" s="1" t="s">
        <v>9</v>
      </c>
      <c r="C514" s="1" t="s">
        <v>10</v>
      </c>
      <c r="D514" s="1" t="s">
        <v>1021</v>
      </c>
      <c r="E514" s="1" t="s">
        <v>1029</v>
      </c>
      <c r="F514" s="1" t="s">
        <v>223</v>
      </c>
      <c r="G514" s="11">
        <v>1533</v>
      </c>
      <c r="H514" s="2">
        <f>100+100+25</f>
        <v>225</v>
      </c>
      <c r="I514" s="2">
        <f>104+103+82</f>
        <v>289</v>
      </c>
      <c r="J514" s="1" t="s">
        <v>1024</v>
      </c>
    </row>
    <row r="515" spans="1:10" ht="60">
      <c r="A515" s="1">
        <v>2023</v>
      </c>
      <c r="B515" s="1" t="s">
        <v>9</v>
      </c>
      <c r="C515" s="1" t="s">
        <v>10</v>
      </c>
      <c r="D515" s="1" t="s">
        <v>1021</v>
      </c>
      <c r="E515" s="1" t="s">
        <v>1030</v>
      </c>
      <c r="F515" s="1" t="s">
        <v>1031</v>
      </c>
      <c r="G515" s="11">
        <v>573</v>
      </c>
      <c r="H515" s="2">
        <f t="shared" ref="H515:H522" si="188">25+25+6</f>
        <v>56</v>
      </c>
      <c r="I515" s="2">
        <f t="shared" ref="I515:I522" si="189">42+37+27</f>
        <v>106</v>
      </c>
      <c r="J515" s="1" t="s">
        <v>1024</v>
      </c>
    </row>
    <row r="516" spans="1:10" ht="24">
      <c r="A516" s="1">
        <v>2023</v>
      </c>
      <c r="B516" s="1" t="s">
        <v>9</v>
      </c>
      <c r="C516" s="1" t="s">
        <v>10</v>
      </c>
      <c r="D516" s="1" t="s">
        <v>1021</v>
      </c>
      <c r="E516" s="1" t="s">
        <v>1032</v>
      </c>
      <c r="F516" s="1" t="s">
        <v>1033</v>
      </c>
      <c r="G516" s="11">
        <v>573</v>
      </c>
      <c r="H516" s="2">
        <f t="shared" si="188"/>
        <v>56</v>
      </c>
      <c r="I516" s="2">
        <f t="shared" si="189"/>
        <v>106</v>
      </c>
      <c r="J516" s="1" t="s">
        <v>1024</v>
      </c>
    </row>
    <row r="517" spans="1:10" ht="48">
      <c r="A517" s="1">
        <v>2023</v>
      </c>
      <c r="B517" s="1" t="s">
        <v>9</v>
      </c>
      <c r="C517" s="1" t="s">
        <v>10</v>
      </c>
      <c r="D517" s="1" t="s">
        <v>1021</v>
      </c>
      <c r="E517" s="1" t="s">
        <v>1034</v>
      </c>
      <c r="F517" s="1" t="s">
        <v>1035</v>
      </c>
      <c r="G517" s="11">
        <v>573</v>
      </c>
      <c r="H517" s="2">
        <f t="shared" si="188"/>
        <v>56</v>
      </c>
      <c r="I517" s="2">
        <f t="shared" si="189"/>
        <v>106</v>
      </c>
      <c r="J517" s="1" t="s">
        <v>1024</v>
      </c>
    </row>
    <row r="518" spans="1:10" ht="24">
      <c r="A518" s="1">
        <v>2023</v>
      </c>
      <c r="B518" s="1" t="s">
        <v>9</v>
      </c>
      <c r="C518" s="1" t="s">
        <v>10</v>
      </c>
      <c r="D518" s="1" t="s">
        <v>1021</v>
      </c>
      <c r="E518" s="1" t="s">
        <v>1036</v>
      </c>
      <c r="F518" s="1" t="s">
        <v>1037</v>
      </c>
      <c r="G518" s="11">
        <v>573</v>
      </c>
      <c r="H518" s="2">
        <f t="shared" si="188"/>
        <v>56</v>
      </c>
      <c r="I518" s="2">
        <f t="shared" si="189"/>
        <v>106</v>
      </c>
      <c r="J518" s="1" t="s">
        <v>1024</v>
      </c>
    </row>
    <row r="519" spans="1:10" ht="36">
      <c r="A519" s="1">
        <v>2023</v>
      </c>
      <c r="B519" s="1" t="s">
        <v>9</v>
      </c>
      <c r="C519" s="1" t="s">
        <v>10</v>
      </c>
      <c r="D519" s="1" t="s">
        <v>1021</v>
      </c>
      <c r="E519" s="1" t="s">
        <v>1038</v>
      </c>
      <c r="F519" s="1" t="s">
        <v>1039</v>
      </c>
      <c r="G519" s="11">
        <v>573</v>
      </c>
      <c r="H519" s="2">
        <f t="shared" si="188"/>
        <v>56</v>
      </c>
      <c r="I519" s="2">
        <f t="shared" si="189"/>
        <v>106</v>
      </c>
      <c r="J519" s="1" t="s">
        <v>1024</v>
      </c>
    </row>
    <row r="520" spans="1:10" ht="24">
      <c r="A520" s="1">
        <v>2023</v>
      </c>
      <c r="B520" s="1" t="s">
        <v>9</v>
      </c>
      <c r="C520" s="1" t="s">
        <v>10</v>
      </c>
      <c r="D520" s="1" t="s">
        <v>1021</v>
      </c>
      <c r="E520" s="1" t="s">
        <v>1040</v>
      </c>
      <c r="F520" s="1" t="s">
        <v>1041</v>
      </c>
      <c r="G520" s="11">
        <v>573</v>
      </c>
      <c r="H520" s="2">
        <f t="shared" si="188"/>
        <v>56</v>
      </c>
      <c r="I520" s="2">
        <f t="shared" si="189"/>
        <v>106</v>
      </c>
      <c r="J520" s="1" t="s">
        <v>1024</v>
      </c>
    </row>
    <row r="521" spans="1:10" ht="24">
      <c r="A521" s="1">
        <v>2023</v>
      </c>
      <c r="B521" s="1" t="s">
        <v>9</v>
      </c>
      <c r="C521" s="1" t="s">
        <v>10</v>
      </c>
      <c r="D521" s="1" t="s">
        <v>1021</v>
      </c>
      <c r="E521" s="1" t="s">
        <v>1009</v>
      </c>
      <c r="F521" s="1" t="s">
        <v>1010</v>
      </c>
      <c r="G521" s="11">
        <v>573</v>
      </c>
      <c r="H521" s="2">
        <f t="shared" si="188"/>
        <v>56</v>
      </c>
      <c r="I521" s="2">
        <f t="shared" si="189"/>
        <v>106</v>
      </c>
      <c r="J521" s="1" t="s">
        <v>1024</v>
      </c>
    </row>
    <row r="522" spans="1:10" ht="24">
      <c r="A522" s="1">
        <v>2023</v>
      </c>
      <c r="B522" s="1" t="s">
        <v>9</v>
      </c>
      <c r="C522" s="1" t="s">
        <v>10</v>
      </c>
      <c r="D522" s="1" t="s">
        <v>1021</v>
      </c>
      <c r="E522" s="1" t="s">
        <v>1009</v>
      </c>
      <c r="F522" s="1" t="s">
        <v>1010</v>
      </c>
      <c r="G522" s="11">
        <v>573</v>
      </c>
      <c r="H522" s="2">
        <f t="shared" si="188"/>
        <v>56</v>
      </c>
      <c r="I522" s="2">
        <f t="shared" si="189"/>
        <v>106</v>
      </c>
      <c r="J522" s="1" t="s">
        <v>1024</v>
      </c>
    </row>
    <row r="523" spans="1:10" ht="24">
      <c r="A523" s="1">
        <v>2023</v>
      </c>
      <c r="B523" s="1" t="s">
        <v>9</v>
      </c>
      <c r="C523" s="1" t="s">
        <v>10</v>
      </c>
      <c r="D523" s="1" t="s">
        <v>1021</v>
      </c>
      <c r="E523" s="1" t="s">
        <v>1042</v>
      </c>
      <c r="F523" s="1" t="s">
        <v>1043</v>
      </c>
      <c r="G523" s="2">
        <v>767</v>
      </c>
      <c r="H523" s="2">
        <f t="shared" ref="H523:H524" si="190">50+50+13</f>
        <v>113</v>
      </c>
      <c r="I523" s="2">
        <f t="shared" ref="I523:I524" si="191">52+52+41</f>
        <v>145</v>
      </c>
      <c r="J523" s="1" t="s">
        <v>1024</v>
      </c>
    </row>
    <row r="524" spans="1:10" ht="24">
      <c r="A524" s="1">
        <v>2023</v>
      </c>
      <c r="B524" s="1" t="s">
        <v>9</v>
      </c>
      <c r="C524" s="1" t="s">
        <v>10</v>
      </c>
      <c r="D524" s="1" t="s">
        <v>1021</v>
      </c>
      <c r="E524" s="1" t="s">
        <v>1044</v>
      </c>
      <c r="F524" s="1" t="s">
        <v>1045</v>
      </c>
      <c r="G524" s="2">
        <v>767</v>
      </c>
      <c r="H524" s="2">
        <f t="shared" si="190"/>
        <v>113</v>
      </c>
      <c r="I524" s="2">
        <f t="shared" si="191"/>
        <v>145</v>
      </c>
      <c r="J524" s="1" t="s">
        <v>1024</v>
      </c>
    </row>
    <row r="525" spans="1:10" ht="36">
      <c r="A525" s="1">
        <v>2023</v>
      </c>
      <c r="B525" s="1" t="s">
        <v>9</v>
      </c>
      <c r="C525" s="1" t="s">
        <v>10</v>
      </c>
      <c r="D525" s="1" t="s">
        <v>1046</v>
      </c>
      <c r="E525" s="1" t="s">
        <v>1047</v>
      </c>
      <c r="F525" s="1" t="s">
        <v>1048</v>
      </c>
      <c r="G525" s="2">
        <v>0</v>
      </c>
      <c r="H525" s="4">
        <v>1</v>
      </c>
      <c r="I525" s="4">
        <v>1</v>
      </c>
      <c r="J525" s="1" t="s">
        <v>1049</v>
      </c>
    </row>
    <row r="526" spans="1:10" ht="36">
      <c r="A526" s="1">
        <v>2023</v>
      </c>
      <c r="B526" s="1" t="s">
        <v>9</v>
      </c>
      <c r="C526" s="1" t="s">
        <v>10</v>
      </c>
      <c r="D526" s="1" t="s">
        <v>1046</v>
      </c>
      <c r="E526" s="1" t="s">
        <v>1050</v>
      </c>
      <c r="F526" s="1" t="s">
        <v>1051</v>
      </c>
      <c r="G526" s="2">
        <v>0</v>
      </c>
      <c r="H526" s="4">
        <v>1</v>
      </c>
      <c r="I526" s="4">
        <v>1</v>
      </c>
      <c r="J526" s="1" t="s">
        <v>1049</v>
      </c>
    </row>
    <row r="527" spans="1:10" ht="36">
      <c r="A527" s="1">
        <v>2023</v>
      </c>
      <c r="B527" s="1" t="s">
        <v>9</v>
      </c>
      <c r="C527" s="1" t="s">
        <v>10</v>
      </c>
      <c r="D527" s="1" t="s">
        <v>1046</v>
      </c>
      <c r="E527" s="1" t="s">
        <v>1052</v>
      </c>
      <c r="F527" s="1" t="s">
        <v>1053</v>
      </c>
      <c r="G527" s="11">
        <v>7596</v>
      </c>
      <c r="H527" s="11">
        <f>570+570+400</f>
        <v>1540</v>
      </c>
      <c r="I527" s="11">
        <f>666+632+492</f>
        <v>1790</v>
      </c>
      <c r="J527" s="1" t="s">
        <v>1049</v>
      </c>
    </row>
    <row r="528" spans="1:10" ht="36">
      <c r="A528" s="1">
        <v>2023</v>
      </c>
      <c r="B528" s="1" t="s">
        <v>9</v>
      </c>
      <c r="C528" s="1" t="s">
        <v>10</v>
      </c>
      <c r="D528" s="1" t="s">
        <v>1046</v>
      </c>
      <c r="E528" s="1" t="s">
        <v>1054</v>
      </c>
      <c r="F528" s="1" t="s">
        <v>1055</v>
      </c>
      <c r="G528" s="2">
        <v>39149</v>
      </c>
      <c r="H528" s="11">
        <f>3000+3000+2500</f>
        <v>8500</v>
      </c>
      <c r="I528" s="11">
        <f>3458+2942+2580</f>
        <v>8980</v>
      </c>
      <c r="J528" s="1" t="s">
        <v>1049</v>
      </c>
    </row>
    <row r="529" spans="1:10" ht="36">
      <c r="A529" s="1">
        <v>2023</v>
      </c>
      <c r="B529" s="1" t="s">
        <v>9</v>
      </c>
      <c r="C529" s="1" t="s">
        <v>10</v>
      </c>
      <c r="D529" s="1" t="s">
        <v>1046</v>
      </c>
      <c r="E529" s="1" t="s">
        <v>1056</v>
      </c>
      <c r="F529" s="1" t="s">
        <v>1057</v>
      </c>
      <c r="G529" s="11">
        <v>0</v>
      </c>
      <c r="H529" s="2">
        <v>0</v>
      </c>
      <c r="I529" s="2">
        <v>0</v>
      </c>
      <c r="J529" s="1" t="s">
        <v>1049</v>
      </c>
    </row>
    <row r="530" spans="1:10" ht="36">
      <c r="A530" s="1">
        <v>2023</v>
      </c>
      <c r="B530" s="1" t="s">
        <v>9</v>
      </c>
      <c r="C530" s="1" t="s">
        <v>10</v>
      </c>
      <c r="D530" s="1" t="s">
        <v>1046</v>
      </c>
      <c r="E530" s="1" t="s">
        <v>1058</v>
      </c>
      <c r="F530" s="1" t="s">
        <v>1059</v>
      </c>
      <c r="G530" s="11">
        <v>1266</v>
      </c>
      <c r="H530" s="2">
        <f t="shared" ref="H530:H535" si="192">95+95+67</f>
        <v>257</v>
      </c>
      <c r="I530" s="2">
        <f>0+4+4</f>
        <v>8</v>
      </c>
      <c r="J530" s="1" t="s">
        <v>1049</v>
      </c>
    </row>
    <row r="531" spans="1:10" ht="36">
      <c r="A531" s="1">
        <v>2023</v>
      </c>
      <c r="B531" s="1" t="s">
        <v>9</v>
      </c>
      <c r="C531" s="1" t="s">
        <v>10</v>
      </c>
      <c r="D531" s="1" t="s">
        <v>1046</v>
      </c>
      <c r="E531" s="1" t="s">
        <v>1060</v>
      </c>
      <c r="F531" s="1" t="s">
        <v>1061</v>
      </c>
      <c r="G531" s="11">
        <v>1266</v>
      </c>
      <c r="H531" s="2">
        <f t="shared" si="192"/>
        <v>257</v>
      </c>
      <c r="I531" s="2">
        <f>8+7+2</f>
        <v>17</v>
      </c>
      <c r="J531" s="1" t="s">
        <v>1049</v>
      </c>
    </row>
    <row r="532" spans="1:10" ht="36">
      <c r="A532" s="1">
        <v>2023</v>
      </c>
      <c r="B532" s="1" t="s">
        <v>9</v>
      </c>
      <c r="C532" s="1" t="s">
        <v>10</v>
      </c>
      <c r="D532" s="1" t="s">
        <v>1046</v>
      </c>
      <c r="E532" s="1" t="s">
        <v>1062</v>
      </c>
      <c r="F532" s="1" t="s">
        <v>1063</v>
      </c>
      <c r="G532" s="11">
        <v>1266</v>
      </c>
      <c r="H532" s="2">
        <f t="shared" si="192"/>
        <v>257</v>
      </c>
      <c r="I532" s="2">
        <f>37+41+35</f>
        <v>113</v>
      </c>
      <c r="J532" s="1" t="s">
        <v>1049</v>
      </c>
    </row>
    <row r="533" spans="1:10" ht="36">
      <c r="A533" s="1">
        <v>2023</v>
      </c>
      <c r="B533" s="1" t="s">
        <v>9</v>
      </c>
      <c r="C533" s="1" t="s">
        <v>10</v>
      </c>
      <c r="D533" s="1" t="s">
        <v>1046</v>
      </c>
      <c r="E533" s="1" t="s">
        <v>1064</v>
      </c>
      <c r="F533" s="1" t="s">
        <v>1065</v>
      </c>
      <c r="G533" s="11">
        <v>1266</v>
      </c>
      <c r="H533" s="2">
        <f t="shared" si="192"/>
        <v>257</v>
      </c>
      <c r="I533" s="2">
        <f>49+39+31</f>
        <v>119</v>
      </c>
      <c r="J533" s="1" t="s">
        <v>1049</v>
      </c>
    </row>
    <row r="534" spans="1:10" ht="36">
      <c r="A534" s="1">
        <v>2023</v>
      </c>
      <c r="B534" s="1" t="s">
        <v>9</v>
      </c>
      <c r="C534" s="1" t="s">
        <v>10</v>
      </c>
      <c r="D534" s="1" t="s">
        <v>1046</v>
      </c>
      <c r="E534" s="1" t="s">
        <v>1066</v>
      </c>
      <c r="F534" s="1" t="s">
        <v>1067</v>
      </c>
      <c r="G534" s="11">
        <v>1266</v>
      </c>
      <c r="H534" s="2">
        <f t="shared" si="192"/>
        <v>257</v>
      </c>
      <c r="I534" s="2">
        <f>404+382+290</f>
        <v>1076</v>
      </c>
      <c r="J534" s="1" t="s">
        <v>1049</v>
      </c>
    </row>
    <row r="535" spans="1:10" ht="36">
      <c r="A535" s="1">
        <v>2023</v>
      </c>
      <c r="B535" s="1" t="s">
        <v>9</v>
      </c>
      <c r="C535" s="1" t="s">
        <v>10</v>
      </c>
      <c r="D535" s="1" t="s">
        <v>1046</v>
      </c>
      <c r="E535" s="1" t="s">
        <v>762</v>
      </c>
      <c r="F535" s="1" t="s">
        <v>1068</v>
      </c>
      <c r="G535" s="11">
        <v>1266</v>
      </c>
      <c r="H535" s="2">
        <f t="shared" si="192"/>
        <v>257</v>
      </c>
      <c r="I535" s="2">
        <f>168+159+130</f>
        <v>457</v>
      </c>
      <c r="J535" s="1" t="s">
        <v>1049</v>
      </c>
    </row>
    <row r="536" spans="1:10" ht="36">
      <c r="A536" s="1">
        <v>2023</v>
      </c>
      <c r="B536" s="1" t="s">
        <v>9</v>
      </c>
      <c r="C536" s="1" t="s">
        <v>10</v>
      </c>
      <c r="D536" s="1" t="s">
        <v>1046</v>
      </c>
      <c r="E536" s="1" t="s">
        <v>1069</v>
      </c>
      <c r="F536" s="1" t="s">
        <v>1070</v>
      </c>
      <c r="G536" s="2">
        <v>19574.5</v>
      </c>
      <c r="H536" s="2">
        <f t="shared" ref="H536:H537" si="193">1500+1500+1250</f>
        <v>4250</v>
      </c>
      <c r="I536" s="2">
        <f>3364+2884+2544</f>
        <v>8792</v>
      </c>
      <c r="J536" s="1" t="s">
        <v>1049</v>
      </c>
    </row>
    <row r="537" spans="1:10" ht="36">
      <c r="A537" s="1">
        <v>2023</v>
      </c>
      <c r="B537" s="1" t="s">
        <v>9</v>
      </c>
      <c r="C537" s="1" t="s">
        <v>10</v>
      </c>
      <c r="D537" s="1" t="s">
        <v>1046</v>
      </c>
      <c r="E537" s="1" t="s">
        <v>1071</v>
      </c>
      <c r="F537" s="1" t="s">
        <v>1072</v>
      </c>
      <c r="G537" s="2">
        <v>9787.25</v>
      </c>
      <c r="H537" s="2">
        <f t="shared" si="193"/>
        <v>4250</v>
      </c>
      <c r="I537" s="2">
        <f>94+58+36</f>
        <v>188</v>
      </c>
      <c r="J537" s="1" t="s">
        <v>1049</v>
      </c>
    </row>
    <row r="538" spans="1:10" ht="36">
      <c r="A538" s="1">
        <v>2023</v>
      </c>
      <c r="B538" s="1" t="s">
        <v>9</v>
      </c>
      <c r="C538" s="1" t="s">
        <v>10</v>
      </c>
      <c r="D538" s="1" t="s">
        <v>1046</v>
      </c>
      <c r="E538" s="1" t="s">
        <v>1073</v>
      </c>
      <c r="F538" s="1" t="s">
        <v>1074</v>
      </c>
      <c r="G538" s="2">
        <v>0</v>
      </c>
      <c r="H538" s="2">
        <v>0</v>
      </c>
      <c r="I538" s="2">
        <v>0</v>
      </c>
      <c r="J538" s="1" t="s">
        <v>1049</v>
      </c>
    </row>
    <row r="539" spans="1:10" ht="24">
      <c r="A539" s="1">
        <v>2023</v>
      </c>
      <c r="B539" s="1" t="s">
        <v>9</v>
      </c>
      <c r="C539" s="1" t="s">
        <v>10</v>
      </c>
      <c r="D539" s="1" t="s">
        <v>1075</v>
      </c>
      <c r="E539" s="1" t="s">
        <v>1076</v>
      </c>
      <c r="F539" s="1" t="s">
        <v>1077</v>
      </c>
      <c r="G539" s="2">
        <v>0</v>
      </c>
      <c r="H539" s="4">
        <v>1</v>
      </c>
      <c r="I539" s="4">
        <v>1</v>
      </c>
      <c r="J539" s="1" t="s">
        <v>1078</v>
      </c>
    </row>
    <row r="540" spans="1:10" ht="24">
      <c r="A540" s="1">
        <v>2023</v>
      </c>
      <c r="B540" s="1" t="s">
        <v>9</v>
      </c>
      <c r="C540" s="1" t="s">
        <v>10</v>
      </c>
      <c r="D540" s="1" t="s">
        <v>1075</v>
      </c>
      <c r="E540" s="1" t="s">
        <v>1079</v>
      </c>
      <c r="F540" s="1" t="s">
        <v>320</v>
      </c>
      <c r="G540" s="2">
        <v>0</v>
      </c>
      <c r="H540" s="4">
        <v>1</v>
      </c>
      <c r="I540" s="4">
        <v>1</v>
      </c>
      <c r="J540" s="1" t="s">
        <v>1078</v>
      </c>
    </row>
    <row r="541" spans="1:10" ht="24">
      <c r="A541" s="1">
        <v>2023</v>
      </c>
      <c r="B541" s="1" t="s">
        <v>9</v>
      </c>
      <c r="C541" s="1" t="s">
        <v>10</v>
      </c>
      <c r="D541" s="1" t="s">
        <v>1075</v>
      </c>
      <c r="E541" s="1" t="s">
        <v>1081</v>
      </c>
      <c r="F541" s="1" t="s">
        <v>1080</v>
      </c>
      <c r="G541" s="2">
        <v>886</v>
      </c>
      <c r="H541" s="2">
        <f>80+80+80</f>
        <v>240</v>
      </c>
      <c r="I541" s="2">
        <f>81+84+91</f>
        <v>256</v>
      </c>
      <c r="J541" s="1" t="s">
        <v>1078</v>
      </c>
    </row>
    <row r="542" spans="1:10" ht="24">
      <c r="A542" s="1">
        <v>2023</v>
      </c>
      <c r="B542" s="1" t="s">
        <v>9</v>
      </c>
      <c r="C542" s="1" t="s">
        <v>10</v>
      </c>
      <c r="D542" s="1" t="s">
        <v>1075</v>
      </c>
      <c r="E542" s="1" t="s">
        <v>1083</v>
      </c>
      <c r="F542" s="1" t="s">
        <v>1082</v>
      </c>
      <c r="G542" s="2">
        <v>115</v>
      </c>
      <c r="H542" s="2">
        <f>12+12+12</f>
        <v>36</v>
      </c>
      <c r="I542" s="2">
        <f>16+18+14</f>
        <v>48</v>
      </c>
      <c r="J542" s="1" t="s">
        <v>1078</v>
      </c>
    </row>
    <row r="543" spans="1:10" ht="48">
      <c r="A543" s="1">
        <v>2023</v>
      </c>
      <c r="B543" s="1" t="s">
        <v>9</v>
      </c>
      <c r="C543" s="1" t="s">
        <v>10</v>
      </c>
      <c r="D543" s="1" t="s">
        <v>1075</v>
      </c>
      <c r="E543" s="1" t="s">
        <v>1085</v>
      </c>
      <c r="F543" s="1" t="s">
        <v>1084</v>
      </c>
      <c r="G543" s="2">
        <v>12</v>
      </c>
      <c r="H543" s="2">
        <f t="shared" ref="H543:I543" si="194">1+1+1</f>
        <v>3</v>
      </c>
      <c r="I543" s="2">
        <f t="shared" si="194"/>
        <v>3</v>
      </c>
      <c r="J543" s="1" t="s">
        <v>1078</v>
      </c>
    </row>
    <row r="544" spans="1:10" ht="48">
      <c r="A544" s="1">
        <v>2023</v>
      </c>
      <c r="B544" s="1" t="s">
        <v>9</v>
      </c>
      <c r="C544" s="1" t="s">
        <v>10</v>
      </c>
      <c r="D544" s="1" t="s">
        <v>1075</v>
      </c>
      <c r="E544" s="1" t="s">
        <v>1087</v>
      </c>
      <c r="F544" s="1" t="s">
        <v>1086</v>
      </c>
      <c r="G544" s="2">
        <v>47</v>
      </c>
      <c r="H544" s="2">
        <f>3+3+3</f>
        <v>9</v>
      </c>
      <c r="I544" s="2">
        <f>9+8+6</f>
        <v>23</v>
      </c>
      <c r="J544" s="1" t="s">
        <v>1078</v>
      </c>
    </row>
    <row r="545" spans="1:10" ht="48">
      <c r="A545" s="1">
        <v>2023</v>
      </c>
      <c r="B545" s="1" t="s">
        <v>9</v>
      </c>
      <c r="C545" s="1" t="s">
        <v>10</v>
      </c>
      <c r="D545" s="1" t="s">
        <v>1075</v>
      </c>
      <c r="E545" s="1" t="s">
        <v>1089</v>
      </c>
      <c r="F545" s="1" t="s">
        <v>1088</v>
      </c>
      <c r="G545" s="2">
        <v>389</v>
      </c>
      <c r="H545" s="2">
        <f>20+20+20</f>
        <v>60</v>
      </c>
      <c r="I545" s="2">
        <f>19+18+13</f>
        <v>50</v>
      </c>
      <c r="J545" s="1" t="s">
        <v>1078</v>
      </c>
    </row>
    <row r="546" spans="1:10" ht="24">
      <c r="A546" s="1">
        <v>2023</v>
      </c>
      <c r="B546" s="1" t="s">
        <v>9</v>
      </c>
      <c r="C546" s="1" t="s">
        <v>10</v>
      </c>
      <c r="D546" s="1" t="s">
        <v>1075</v>
      </c>
      <c r="E546" s="1" t="s">
        <v>1090</v>
      </c>
      <c r="F546" s="1" t="s">
        <v>1091</v>
      </c>
      <c r="G546" s="2">
        <v>886</v>
      </c>
      <c r="H546" s="2">
        <f>80+80+80</f>
        <v>240</v>
      </c>
      <c r="I546" s="2">
        <f>81+84+91</f>
        <v>256</v>
      </c>
      <c r="J546" s="1" t="s">
        <v>1078</v>
      </c>
    </row>
    <row r="547" spans="1:10" ht="24">
      <c r="A547" s="1">
        <v>2023</v>
      </c>
      <c r="B547" s="1" t="s">
        <v>9</v>
      </c>
      <c r="C547" s="1" t="s">
        <v>10</v>
      </c>
      <c r="D547" s="1" t="s">
        <v>1075</v>
      </c>
      <c r="E547" s="1" t="s">
        <v>1092</v>
      </c>
      <c r="F547" s="1" t="s">
        <v>1093</v>
      </c>
      <c r="G547" s="2">
        <v>115</v>
      </c>
      <c r="H547" s="2">
        <f>12+12+12</f>
        <v>36</v>
      </c>
      <c r="I547" s="2">
        <f>16+18+14</f>
        <v>48</v>
      </c>
      <c r="J547" s="1" t="s">
        <v>1078</v>
      </c>
    </row>
    <row r="548" spans="1:10" ht="48">
      <c r="A548" s="1">
        <v>2023</v>
      </c>
      <c r="B548" s="1" t="s">
        <v>9</v>
      </c>
      <c r="C548" s="1" t="s">
        <v>10</v>
      </c>
      <c r="D548" s="1" t="s">
        <v>1075</v>
      </c>
      <c r="E548" s="1" t="s">
        <v>1094</v>
      </c>
      <c r="F548" s="1" t="s">
        <v>1095</v>
      </c>
      <c r="G548" s="2">
        <v>12</v>
      </c>
      <c r="H548" s="2">
        <f t="shared" ref="H548:I548" si="195">1+1+1</f>
        <v>3</v>
      </c>
      <c r="I548" s="2">
        <f t="shared" si="195"/>
        <v>3</v>
      </c>
      <c r="J548" s="1" t="s">
        <v>1078</v>
      </c>
    </row>
    <row r="549" spans="1:10" ht="48">
      <c r="A549" s="1">
        <v>2023</v>
      </c>
      <c r="B549" s="1" t="s">
        <v>9</v>
      </c>
      <c r="C549" s="1" t="s">
        <v>10</v>
      </c>
      <c r="D549" s="1" t="s">
        <v>1075</v>
      </c>
      <c r="E549" s="1" t="s">
        <v>1096</v>
      </c>
      <c r="F549" s="1" t="s">
        <v>1086</v>
      </c>
      <c r="G549" s="2">
        <v>47</v>
      </c>
      <c r="H549" s="2">
        <f>3+3+3</f>
        <v>9</v>
      </c>
      <c r="I549" s="2">
        <f>9+8+6</f>
        <v>23</v>
      </c>
      <c r="J549" s="1" t="s">
        <v>1078</v>
      </c>
    </row>
    <row r="550" spans="1:10" ht="24">
      <c r="A550" s="1">
        <v>2023</v>
      </c>
      <c r="B550" s="1" t="s">
        <v>9</v>
      </c>
      <c r="C550" s="1" t="s">
        <v>10</v>
      </c>
      <c r="D550" s="1" t="s">
        <v>1075</v>
      </c>
      <c r="E550" s="1" t="s">
        <v>1097</v>
      </c>
      <c r="F550" s="1" t="s">
        <v>1098</v>
      </c>
      <c r="G550" s="2">
        <v>389</v>
      </c>
      <c r="H550" s="2">
        <f>20+20+20</f>
        <v>60</v>
      </c>
      <c r="I550" s="2">
        <f>19+18+13</f>
        <v>50</v>
      </c>
      <c r="J550" s="1" t="s">
        <v>1078</v>
      </c>
    </row>
    <row r="551" spans="1:10" ht="24">
      <c r="A551" s="1">
        <v>2023</v>
      </c>
      <c r="B551" s="1" t="s">
        <v>9</v>
      </c>
      <c r="C551" s="1" t="s">
        <v>10</v>
      </c>
      <c r="D551" s="1" t="s">
        <v>1099</v>
      </c>
      <c r="E551" s="1" t="s">
        <v>1076</v>
      </c>
      <c r="F551" s="1" t="s">
        <v>1100</v>
      </c>
      <c r="G551" s="2">
        <v>0</v>
      </c>
      <c r="H551" s="4">
        <v>1</v>
      </c>
      <c r="I551" s="4">
        <v>1</v>
      </c>
      <c r="J551" s="1" t="s">
        <v>1101</v>
      </c>
    </row>
    <row r="552" spans="1:10" ht="24">
      <c r="A552" s="1">
        <v>2023</v>
      </c>
      <c r="B552" s="1" t="s">
        <v>9</v>
      </c>
      <c r="C552" s="1" t="s">
        <v>10</v>
      </c>
      <c r="D552" s="1" t="s">
        <v>1099</v>
      </c>
      <c r="E552" s="1" t="s">
        <v>1102</v>
      </c>
      <c r="F552" s="1" t="s">
        <v>1103</v>
      </c>
      <c r="G552" s="2">
        <v>0</v>
      </c>
      <c r="H552" s="4">
        <v>1</v>
      </c>
      <c r="I552" s="4">
        <v>1</v>
      </c>
      <c r="J552" s="1" t="s">
        <v>1101</v>
      </c>
    </row>
    <row r="553" spans="1:10" ht="24">
      <c r="A553" s="1">
        <v>2023</v>
      </c>
      <c r="B553" s="1" t="s">
        <v>9</v>
      </c>
      <c r="C553" s="1" t="s">
        <v>10</v>
      </c>
      <c r="D553" s="1" t="s">
        <v>1099</v>
      </c>
      <c r="E553" s="1" t="s">
        <v>1104</v>
      </c>
      <c r="F553" s="1" t="s">
        <v>968</v>
      </c>
      <c r="G553" s="2">
        <v>740</v>
      </c>
      <c r="H553" s="2">
        <f>70+50+20</f>
        <v>140</v>
      </c>
      <c r="I553" s="2">
        <f>73+56+30</f>
        <v>159</v>
      </c>
      <c r="J553" s="1" t="s">
        <v>1101</v>
      </c>
    </row>
    <row r="554" spans="1:10" ht="24">
      <c r="A554" s="1">
        <v>2023</v>
      </c>
      <c r="B554" s="1" t="s">
        <v>9</v>
      </c>
      <c r="C554" s="1" t="s">
        <v>10</v>
      </c>
      <c r="D554" s="1" t="s">
        <v>1099</v>
      </c>
      <c r="E554" s="1" t="s">
        <v>1105</v>
      </c>
      <c r="F554" s="1" t="s">
        <v>1106</v>
      </c>
      <c r="G554" s="2">
        <v>1282</v>
      </c>
      <c r="H554" s="2">
        <f>70+100+50</f>
        <v>220</v>
      </c>
      <c r="I554" s="2">
        <f>86+116+56</f>
        <v>258</v>
      </c>
      <c r="J554" s="1" t="s">
        <v>1101</v>
      </c>
    </row>
    <row r="555" spans="1:10" ht="24">
      <c r="A555" s="1">
        <v>2023</v>
      </c>
      <c r="B555" s="1" t="s">
        <v>9</v>
      </c>
      <c r="C555" s="1" t="s">
        <v>10</v>
      </c>
      <c r="D555" s="1" t="s">
        <v>1099</v>
      </c>
      <c r="E555" s="1" t="s">
        <v>1107</v>
      </c>
      <c r="F555" s="1" t="s">
        <v>1108</v>
      </c>
      <c r="G555" s="2">
        <v>12</v>
      </c>
      <c r="H555" s="2">
        <f t="shared" ref="H555:I555" si="196">1+1+1</f>
        <v>3</v>
      </c>
      <c r="I555" s="2">
        <f t="shared" si="196"/>
        <v>3</v>
      </c>
      <c r="J555" s="1" t="s">
        <v>1101</v>
      </c>
    </row>
    <row r="556" spans="1:10" ht="24">
      <c r="A556" s="1">
        <v>2023</v>
      </c>
      <c r="B556" s="1" t="s">
        <v>9</v>
      </c>
      <c r="C556" s="1" t="s">
        <v>10</v>
      </c>
      <c r="D556" s="1" t="s">
        <v>1099</v>
      </c>
      <c r="E556" s="1" t="s">
        <v>967</v>
      </c>
      <c r="F556" s="1" t="s">
        <v>968</v>
      </c>
      <c r="G556" s="2">
        <v>740</v>
      </c>
      <c r="H556" s="2">
        <f>70+50+20</f>
        <v>140</v>
      </c>
      <c r="I556" s="2">
        <f>73+56+30</f>
        <v>159</v>
      </c>
      <c r="J556" s="1" t="s">
        <v>1101</v>
      </c>
    </row>
    <row r="557" spans="1:10" ht="24">
      <c r="A557" s="1">
        <v>2023</v>
      </c>
      <c r="B557" s="1" t="s">
        <v>9</v>
      </c>
      <c r="C557" s="1" t="s">
        <v>10</v>
      </c>
      <c r="D557" s="1" t="s">
        <v>1099</v>
      </c>
      <c r="E557" s="1" t="s">
        <v>1109</v>
      </c>
      <c r="F557" s="1" t="s">
        <v>1110</v>
      </c>
      <c r="G557" s="2">
        <v>641</v>
      </c>
      <c r="H557" s="2">
        <f t="shared" ref="H557:H558" si="197">35+50+25</f>
        <v>110</v>
      </c>
      <c r="I557" s="2">
        <f t="shared" ref="I557:I558" si="198">43+58+28</f>
        <v>129</v>
      </c>
      <c r="J557" s="1" t="s">
        <v>1101</v>
      </c>
    </row>
    <row r="558" spans="1:10" ht="48">
      <c r="A558" s="1">
        <v>2023</v>
      </c>
      <c r="B558" s="1" t="s">
        <v>9</v>
      </c>
      <c r="C558" s="1" t="s">
        <v>10</v>
      </c>
      <c r="D558" s="1" t="s">
        <v>1099</v>
      </c>
      <c r="E558" s="1" t="s">
        <v>1111</v>
      </c>
      <c r="F558" s="1" t="s">
        <v>1112</v>
      </c>
      <c r="G558" s="2">
        <v>641</v>
      </c>
      <c r="H558" s="2">
        <f t="shared" si="197"/>
        <v>110</v>
      </c>
      <c r="I558" s="2">
        <f t="shared" si="198"/>
        <v>129</v>
      </c>
      <c r="J558" s="1" t="s">
        <v>1101</v>
      </c>
    </row>
    <row r="559" spans="1:10" ht="24">
      <c r="A559" s="1">
        <v>2023</v>
      </c>
      <c r="B559" s="1" t="s">
        <v>9</v>
      </c>
      <c r="C559" s="1" t="s">
        <v>10</v>
      </c>
      <c r="D559" s="1" t="s">
        <v>1099</v>
      </c>
      <c r="E559" s="1" t="s">
        <v>1113</v>
      </c>
      <c r="F559" s="1" t="s">
        <v>1114</v>
      </c>
      <c r="G559" s="2">
        <v>6</v>
      </c>
      <c r="H559" s="2">
        <f t="shared" ref="H559:I559" si="199">0.5+0.5+0.5</f>
        <v>1.5</v>
      </c>
      <c r="I559" s="2">
        <f t="shared" si="199"/>
        <v>1.5</v>
      </c>
      <c r="J559" s="1" t="s">
        <v>1101</v>
      </c>
    </row>
    <row r="560" spans="1:10" ht="24">
      <c r="A560" s="1">
        <v>2023</v>
      </c>
      <c r="B560" s="1" t="s">
        <v>9</v>
      </c>
      <c r="C560" s="1" t="s">
        <v>10</v>
      </c>
      <c r="D560" s="1" t="s">
        <v>1099</v>
      </c>
      <c r="E560" s="1" t="s">
        <v>1115</v>
      </c>
      <c r="F560" s="1" t="s">
        <v>1116</v>
      </c>
      <c r="G560" s="2">
        <v>6</v>
      </c>
      <c r="H560" s="2">
        <f t="shared" ref="H560:I560" si="200">0.5+0.5+0.5</f>
        <v>1.5</v>
      </c>
      <c r="I560" s="2">
        <f t="shared" si="200"/>
        <v>1.5</v>
      </c>
      <c r="J560" s="1" t="s">
        <v>1101</v>
      </c>
    </row>
    <row r="561" spans="1:10" ht="36">
      <c r="A561" s="1">
        <v>2023</v>
      </c>
      <c r="B561" s="1" t="s">
        <v>9</v>
      </c>
      <c r="C561" s="1" t="s">
        <v>10</v>
      </c>
      <c r="D561" s="1" t="s">
        <v>1117</v>
      </c>
      <c r="E561" s="1" t="s">
        <v>1118</v>
      </c>
      <c r="F561" s="1" t="s">
        <v>1119</v>
      </c>
      <c r="G561" s="2">
        <v>0</v>
      </c>
      <c r="H561" s="4">
        <v>1</v>
      </c>
      <c r="I561" s="4">
        <v>1</v>
      </c>
      <c r="J561" s="1" t="s">
        <v>1120</v>
      </c>
    </row>
    <row r="562" spans="1:10" ht="48">
      <c r="A562" s="1">
        <v>2023</v>
      </c>
      <c r="B562" s="1" t="s">
        <v>9</v>
      </c>
      <c r="C562" s="1" t="s">
        <v>10</v>
      </c>
      <c r="D562" s="1" t="s">
        <v>1117</v>
      </c>
      <c r="E562" s="1" t="s">
        <v>1121</v>
      </c>
      <c r="F562" s="1" t="s">
        <v>1122</v>
      </c>
      <c r="G562" s="2">
        <v>0</v>
      </c>
      <c r="H562" s="4">
        <v>1</v>
      </c>
      <c r="I562" s="4">
        <v>1</v>
      </c>
      <c r="J562" s="1" t="s">
        <v>1120</v>
      </c>
    </row>
    <row r="563" spans="1:10" ht="36">
      <c r="A563" s="1">
        <v>2023</v>
      </c>
      <c r="B563" s="1" t="s">
        <v>9</v>
      </c>
      <c r="C563" s="1" t="s">
        <v>10</v>
      </c>
      <c r="D563" s="1" t="s">
        <v>1117</v>
      </c>
      <c r="E563" s="1" t="s">
        <v>1123</v>
      </c>
      <c r="F563" s="1" t="s">
        <v>1124</v>
      </c>
      <c r="G563" s="11">
        <v>6859</v>
      </c>
      <c r="H563" s="11">
        <f>210+210+210</f>
        <v>630</v>
      </c>
      <c r="I563" s="11">
        <f>1508+1269+324</f>
        <v>3101</v>
      </c>
      <c r="J563" s="1" t="s">
        <v>1120</v>
      </c>
    </row>
    <row r="564" spans="1:10" ht="36">
      <c r="A564" s="1">
        <v>2023</v>
      </c>
      <c r="B564" s="1" t="s">
        <v>9</v>
      </c>
      <c r="C564" s="1" t="s">
        <v>10</v>
      </c>
      <c r="D564" s="1" t="s">
        <v>1117</v>
      </c>
      <c r="E564" s="1" t="s">
        <v>1126</v>
      </c>
      <c r="F564" s="1" t="s">
        <v>1125</v>
      </c>
      <c r="G564" s="2">
        <v>104</v>
      </c>
      <c r="H564" s="2">
        <f>6+6+6</f>
        <v>18</v>
      </c>
      <c r="I564" s="2">
        <f>4+4+5</f>
        <v>13</v>
      </c>
      <c r="J564" s="1" t="s">
        <v>1120</v>
      </c>
    </row>
    <row r="565" spans="1:10" ht="36">
      <c r="A565" s="1">
        <v>2023</v>
      </c>
      <c r="B565" s="1" t="s">
        <v>9</v>
      </c>
      <c r="C565" s="1" t="s">
        <v>10</v>
      </c>
      <c r="D565" s="1" t="s">
        <v>1117</v>
      </c>
      <c r="E565" s="1" t="s">
        <v>1127</v>
      </c>
      <c r="F565" s="1" t="s">
        <v>1128</v>
      </c>
      <c r="G565" s="2">
        <v>2286.33</v>
      </c>
      <c r="H565" s="2">
        <f t="shared" ref="H565:H567" si="201">70+70+70</f>
        <v>210</v>
      </c>
      <c r="I565" s="2">
        <f t="shared" ref="I565:I567" si="202">503+423+108</f>
        <v>1034</v>
      </c>
      <c r="J565" s="1" t="s">
        <v>1120</v>
      </c>
    </row>
    <row r="566" spans="1:10" ht="36">
      <c r="A566" s="1">
        <v>2023</v>
      </c>
      <c r="B566" s="1" t="s">
        <v>9</v>
      </c>
      <c r="C566" s="1" t="s">
        <v>10</v>
      </c>
      <c r="D566" s="1" t="s">
        <v>1117</v>
      </c>
      <c r="E566" s="1" t="s">
        <v>1129</v>
      </c>
      <c r="F566" s="1" t="s">
        <v>1130</v>
      </c>
      <c r="G566" s="2">
        <v>2286.33</v>
      </c>
      <c r="H566" s="2">
        <f t="shared" si="201"/>
        <v>210</v>
      </c>
      <c r="I566" s="2">
        <f t="shared" si="202"/>
        <v>1034</v>
      </c>
      <c r="J566" s="1" t="s">
        <v>1120</v>
      </c>
    </row>
    <row r="567" spans="1:10" ht="36">
      <c r="A567" s="1">
        <v>2023</v>
      </c>
      <c r="B567" s="1" t="s">
        <v>9</v>
      </c>
      <c r="C567" s="1" t="s">
        <v>10</v>
      </c>
      <c r="D567" s="1" t="s">
        <v>1117</v>
      </c>
      <c r="E567" s="1" t="s">
        <v>1131</v>
      </c>
      <c r="F567" s="1" t="s">
        <v>1132</v>
      </c>
      <c r="G567" s="2">
        <v>2286.33</v>
      </c>
      <c r="H567" s="2">
        <f t="shared" si="201"/>
        <v>210</v>
      </c>
      <c r="I567" s="2">
        <f t="shared" si="202"/>
        <v>1034</v>
      </c>
      <c r="J567" s="1" t="s">
        <v>1120</v>
      </c>
    </row>
    <row r="568" spans="1:10" ht="36">
      <c r="A568" s="1">
        <v>2023</v>
      </c>
      <c r="B568" s="1" t="s">
        <v>9</v>
      </c>
      <c r="C568" s="1" t="s">
        <v>10</v>
      </c>
      <c r="D568" s="1" t="s">
        <v>1117</v>
      </c>
      <c r="E568" s="1" t="s">
        <v>1133</v>
      </c>
      <c r="F568" s="1" t="s">
        <v>1134</v>
      </c>
      <c r="G568" s="2">
        <v>34.67</v>
      </c>
      <c r="H568" s="2">
        <f t="shared" ref="H568:H570" si="203">2+2+2</f>
        <v>6</v>
      </c>
      <c r="I568" s="2">
        <f t="shared" ref="I568:I570" si="204">1.33+1.33+1.67</f>
        <v>4.33</v>
      </c>
      <c r="J568" s="1" t="s">
        <v>1120</v>
      </c>
    </row>
    <row r="569" spans="1:10" ht="36">
      <c r="A569" s="1">
        <v>2023</v>
      </c>
      <c r="B569" s="1" t="s">
        <v>9</v>
      </c>
      <c r="C569" s="1" t="s">
        <v>10</v>
      </c>
      <c r="D569" s="1" t="s">
        <v>1117</v>
      </c>
      <c r="E569" s="1" t="s">
        <v>1135</v>
      </c>
      <c r="F569" s="1" t="s">
        <v>1136</v>
      </c>
      <c r="G569" s="2">
        <v>34.67</v>
      </c>
      <c r="H569" s="2">
        <f t="shared" si="203"/>
        <v>6</v>
      </c>
      <c r="I569" s="2">
        <f t="shared" si="204"/>
        <v>4.33</v>
      </c>
      <c r="J569" s="1" t="s">
        <v>1120</v>
      </c>
    </row>
    <row r="570" spans="1:10" ht="36">
      <c r="A570" s="1">
        <v>2023</v>
      </c>
      <c r="B570" s="1" t="s">
        <v>9</v>
      </c>
      <c r="C570" s="1" t="s">
        <v>10</v>
      </c>
      <c r="D570" s="1" t="s">
        <v>1117</v>
      </c>
      <c r="E570" s="1" t="s">
        <v>762</v>
      </c>
      <c r="F570" s="1" t="s">
        <v>1068</v>
      </c>
      <c r="G570" s="2">
        <v>34.67</v>
      </c>
      <c r="H570" s="2">
        <f t="shared" si="203"/>
        <v>6</v>
      </c>
      <c r="I570" s="2">
        <f t="shared" si="204"/>
        <v>4.33</v>
      </c>
      <c r="J570" s="1" t="s">
        <v>1120</v>
      </c>
    </row>
    <row r="571" spans="1:10" ht="36">
      <c r="A571" s="1">
        <v>2023</v>
      </c>
      <c r="B571" s="1" t="s">
        <v>9</v>
      </c>
      <c r="C571" s="1" t="s">
        <v>10</v>
      </c>
      <c r="D571" s="1" t="s">
        <v>1137</v>
      </c>
      <c r="E571" s="1" t="s">
        <v>1138</v>
      </c>
      <c r="F571" s="1" t="s">
        <v>1139</v>
      </c>
      <c r="G571" s="2">
        <v>0</v>
      </c>
      <c r="H571" s="4">
        <v>1</v>
      </c>
      <c r="I571" s="4">
        <v>1</v>
      </c>
      <c r="J571" s="1" t="s">
        <v>1140</v>
      </c>
    </row>
    <row r="572" spans="1:10" ht="36">
      <c r="A572" s="1">
        <v>2023</v>
      </c>
      <c r="B572" s="1" t="s">
        <v>9</v>
      </c>
      <c r="C572" s="1" t="s">
        <v>10</v>
      </c>
      <c r="D572" s="1" t="s">
        <v>1137</v>
      </c>
      <c r="E572" s="1" t="s">
        <v>1141</v>
      </c>
      <c r="F572" s="1" t="s">
        <v>1142</v>
      </c>
      <c r="G572" s="2">
        <v>0</v>
      </c>
      <c r="H572" s="4">
        <v>1</v>
      </c>
      <c r="I572" s="4">
        <v>1</v>
      </c>
      <c r="J572" s="1" t="s">
        <v>1140</v>
      </c>
    </row>
    <row r="573" spans="1:10" ht="48">
      <c r="A573" s="1">
        <v>2023</v>
      </c>
      <c r="B573" s="1" t="s">
        <v>9</v>
      </c>
      <c r="C573" s="1" t="s">
        <v>10</v>
      </c>
      <c r="D573" s="1" t="s">
        <v>1137</v>
      </c>
      <c r="E573" s="1" t="s">
        <v>1143</v>
      </c>
      <c r="F573" s="1" t="s">
        <v>1144</v>
      </c>
      <c r="G573" s="11">
        <v>1888</v>
      </c>
      <c r="H573" s="2">
        <f>240+360+230</f>
        <v>830</v>
      </c>
      <c r="I573" s="11">
        <f>242+371+796</f>
        <v>1409</v>
      </c>
      <c r="J573" s="1" t="s">
        <v>1140</v>
      </c>
    </row>
    <row r="574" spans="1:10" ht="36">
      <c r="A574" s="1">
        <v>2023</v>
      </c>
      <c r="B574" s="1" t="s">
        <v>9</v>
      </c>
      <c r="C574" s="1" t="s">
        <v>10</v>
      </c>
      <c r="D574" s="1" t="s">
        <v>1137</v>
      </c>
      <c r="E574" s="1" t="s">
        <v>1145</v>
      </c>
      <c r="F574" s="1" t="s">
        <v>1146</v>
      </c>
      <c r="G574" s="14">
        <v>1722</v>
      </c>
      <c r="H574" s="2">
        <f>225+219+254</f>
        <v>698</v>
      </c>
      <c r="I574" s="2">
        <f>72+117+75</f>
        <v>264</v>
      </c>
      <c r="J574" s="1" t="s">
        <v>1140</v>
      </c>
    </row>
    <row r="575" spans="1:10" ht="48">
      <c r="A575" s="1">
        <v>2023</v>
      </c>
      <c r="B575" s="1" t="s">
        <v>9</v>
      </c>
      <c r="C575" s="1" t="s">
        <v>10</v>
      </c>
      <c r="D575" s="1" t="s">
        <v>1137</v>
      </c>
      <c r="E575" s="1" t="s">
        <v>1147</v>
      </c>
      <c r="F575" s="1" t="s">
        <v>1148</v>
      </c>
      <c r="G575" s="3">
        <v>1</v>
      </c>
      <c r="H575" s="4">
        <v>0.24990000000000001</v>
      </c>
      <c r="I575" s="4">
        <v>0.24990000000000001</v>
      </c>
      <c r="J575" s="1" t="s">
        <v>1140</v>
      </c>
    </row>
    <row r="576" spans="1:10" ht="36">
      <c r="A576" s="1">
        <v>2023</v>
      </c>
      <c r="B576" s="1" t="s">
        <v>9</v>
      </c>
      <c r="C576" s="1" t="s">
        <v>10</v>
      </c>
      <c r="D576" s="1" t="s">
        <v>1137</v>
      </c>
      <c r="E576" s="1" t="s">
        <v>1149</v>
      </c>
      <c r="F576" s="1" t="s">
        <v>1150</v>
      </c>
      <c r="G576" s="14">
        <v>377.6</v>
      </c>
      <c r="H576" s="2">
        <f t="shared" ref="H576:H580" si="205">48+72+46</f>
        <v>166</v>
      </c>
      <c r="I576" s="2">
        <f t="shared" ref="I576:I580" si="206">59+84+169</f>
        <v>312</v>
      </c>
      <c r="J576" s="1" t="s">
        <v>1140</v>
      </c>
    </row>
    <row r="577" spans="1:10" ht="36">
      <c r="A577" s="1">
        <v>2023</v>
      </c>
      <c r="B577" s="1" t="s">
        <v>9</v>
      </c>
      <c r="C577" s="1" t="s">
        <v>10</v>
      </c>
      <c r="D577" s="1" t="s">
        <v>1137</v>
      </c>
      <c r="E577" s="1" t="s">
        <v>1151</v>
      </c>
      <c r="F577" s="1" t="s">
        <v>1152</v>
      </c>
      <c r="G577" s="14">
        <v>377.6</v>
      </c>
      <c r="H577" s="2">
        <f t="shared" si="205"/>
        <v>166</v>
      </c>
      <c r="I577" s="2">
        <f t="shared" si="206"/>
        <v>312</v>
      </c>
      <c r="J577" s="1" t="s">
        <v>1140</v>
      </c>
    </row>
    <row r="578" spans="1:10" ht="36">
      <c r="A578" s="1">
        <v>2023</v>
      </c>
      <c r="B578" s="1" t="s">
        <v>9</v>
      </c>
      <c r="C578" s="1" t="s">
        <v>10</v>
      </c>
      <c r="D578" s="1" t="s">
        <v>1137</v>
      </c>
      <c r="E578" s="1" t="s">
        <v>1153</v>
      </c>
      <c r="F578" s="1" t="s">
        <v>1154</v>
      </c>
      <c r="G578" s="14">
        <v>377.6</v>
      </c>
      <c r="H578" s="2">
        <f t="shared" si="205"/>
        <v>166</v>
      </c>
      <c r="I578" s="2">
        <f t="shared" si="206"/>
        <v>312</v>
      </c>
      <c r="J578" s="1" t="s">
        <v>1140</v>
      </c>
    </row>
    <row r="579" spans="1:10" ht="36">
      <c r="A579" s="1">
        <v>2023</v>
      </c>
      <c r="B579" s="1" t="s">
        <v>9</v>
      </c>
      <c r="C579" s="1" t="s">
        <v>10</v>
      </c>
      <c r="D579" s="1" t="s">
        <v>1137</v>
      </c>
      <c r="E579" s="1" t="s">
        <v>1155</v>
      </c>
      <c r="F579" s="1" t="s">
        <v>1156</v>
      </c>
      <c r="G579" s="14">
        <v>377.6</v>
      </c>
      <c r="H579" s="2">
        <f t="shared" si="205"/>
        <v>166</v>
      </c>
      <c r="I579" s="2">
        <f t="shared" si="206"/>
        <v>312</v>
      </c>
      <c r="J579" s="1" t="s">
        <v>1140</v>
      </c>
    </row>
    <row r="580" spans="1:10" ht="36">
      <c r="A580" s="1">
        <v>2023</v>
      </c>
      <c r="B580" s="1" t="s">
        <v>9</v>
      </c>
      <c r="C580" s="1" t="s">
        <v>10</v>
      </c>
      <c r="D580" s="1" t="s">
        <v>1137</v>
      </c>
      <c r="E580" s="1" t="s">
        <v>1009</v>
      </c>
      <c r="F580" s="1" t="s">
        <v>1010</v>
      </c>
      <c r="G580" s="14">
        <v>377.6</v>
      </c>
      <c r="H580" s="2">
        <f t="shared" si="205"/>
        <v>166</v>
      </c>
      <c r="I580" s="2">
        <f t="shared" si="206"/>
        <v>312</v>
      </c>
      <c r="J580" s="1" t="s">
        <v>1140</v>
      </c>
    </row>
    <row r="581" spans="1:10" ht="36">
      <c r="A581" s="1">
        <v>2023</v>
      </c>
      <c r="B581" s="1" t="s">
        <v>9</v>
      </c>
      <c r="C581" s="1" t="s">
        <v>10</v>
      </c>
      <c r="D581" s="1" t="s">
        <v>1137</v>
      </c>
      <c r="E581" s="1" t="s">
        <v>1157</v>
      </c>
      <c r="F581" s="1" t="s">
        <v>1158</v>
      </c>
      <c r="G581" s="6">
        <v>344.4</v>
      </c>
      <c r="H581" s="2">
        <f t="shared" ref="H581:H585" si="207">45+44+51</f>
        <v>140</v>
      </c>
      <c r="I581" s="2">
        <f t="shared" ref="I581:I585" si="208">14+23+15</f>
        <v>52</v>
      </c>
      <c r="J581" s="1" t="s">
        <v>1140</v>
      </c>
    </row>
    <row r="582" spans="1:10" ht="36">
      <c r="A582" s="1">
        <v>2023</v>
      </c>
      <c r="B582" s="1" t="s">
        <v>9</v>
      </c>
      <c r="C582" s="1" t="s">
        <v>10</v>
      </c>
      <c r="D582" s="1" t="s">
        <v>1137</v>
      </c>
      <c r="E582" s="1" t="s">
        <v>1159</v>
      </c>
      <c r="F582" s="1" t="s">
        <v>1160</v>
      </c>
      <c r="G582" s="6">
        <v>344.4</v>
      </c>
      <c r="H582" s="2">
        <f t="shared" si="207"/>
        <v>140</v>
      </c>
      <c r="I582" s="2">
        <f t="shared" si="208"/>
        <v>52</v>
      </c>
      <c r="J582" s="1" t="s">
        <v>1140</v>
      </c>
    </row>
    <row r="583" spans="1:10" ht="36">
      <c r="A583" s="1">
        <v>2023</v>
      </c>
      <c r="B583" s="1" t="s">
        <v>9</v>
      </c>
      <c r="C583" s="1" t="s">
        <v>10</v>
      </c>
      <c r="D583" s="1" t="s">
        <v>1137</v>
      </c>
      <c r="E583" s="1" t="s">
        <v>1161</v>
      </c>
      <c r="F583" s="1" t="s">
        <v>1162</v>
      </c>
      <c r="G583" s="6">
        <v>344.4</v>
      </c>
      <c r="H583" s="2">
        <f t="shared" si="207"/>
        <v>140</v>
      </c>
      <c r="I583" s="2">
        <f t="shared" si="208"/>
        <v>52</v>
      </c>
      <c r="J583" s="1" t="s">
        <v>1140</v>
      </c>
    </row>
    <row r="584" spans="1:10" ht="36">
      <c r="A584" s="1">
        <v>2023</v>
      </c>
      <c r="B584" s="1" t="s">
        <v>9</v>
      </c>
      <c r="C584" s="1" t="s">
        <v>10</v>
      </c>
      <c r="D584" s="1" t="s">
        <v>1137</v>
      </c>
      <c r="E584" s="1" t="s">
        <v>1161</v>
      </c>
      <c r="F584" s="1" t="s">
        <v>1162</v>
      </c>
      <c r="G584" s="6">
        <v>344.4</v>
      </c>
      <c r="H584" s="2">
        <f t="shared" si="207"/>
        <v>140</v>
      </c>
      <c r="I584" s="2">
        <f t="shared" si="208"/>
        <v>52</v>
      </c>
      <c r="J584" s="1" t="s">
        <v>1140</v>
      </c>
    </row>
    <row r="585" spans="1:10" ht="36">
      <c r="A585" s="1">
        <v>2023</v>
      </c>
      <c r="B585" s="1" t="s">
        <v>9</v>
      </c>
      <c r="C585" s="1" t="s">
        <v>10</v>
      </c>
      <c r="D585" s="1" t="s">
        <v>1137</v>
      </c>
      <c r="E585" s="1" t="s">
        <v>1163</v>
      </c>
      <c r="F585" s="1" t="s">
        <v>322</v>
      </c>
      <c r="G585" s="6">
        <v>344.4</v>
      </c>
      <c r="H585" s="2">
        <f t="shared" si="207"/>
        <v>140</v>
      </c>
      <c r="I585" s="2">
        <f t="shared" si="208"/>
        <v>52</v>
      </c>
      <c r="J585" s="1" t="s">
        <v>1140</v>
      </c>
    </row>
    <row r="586" spans="1:10" ht="36">
      <c r="A586" s="1">
        <v>2023</v>
      </c>
      <c r="B586" s="1" t="s">
        <v>9</v>
      </c>
      <c r="C586" s="1" t="s">
        <v>10</v>
      </c>
      <c r="D586" s="1" t="s">
        <v>1137</v>
      </c>
      <c r="E586" s="1" t="s">
        <v>1164</v>
      </c>
      <c r="F586" s="1" t="s">
        <v>1165</v>
      </c>
      <c r="G586" s="2">
        <v>1</v>
      </c>
      <c r="H586" s="4">
        <v>0.1242</v>
      </c>
      <c r="I586" s="4">
        <v>0.12509999999999999</v>
      </c>
      <c r="J586" s="1" t="s">
        <v>1140</v>
      </c>
    </row>
    <row r="587" spans="1:10" ht="36">
      <c r="A587" s="1">
        <v>2023</v>
      </c>
      <c r="B587" s="1" t="s">
        <v>9</v>
      </c>
      <c r="C587" s="1" t="s">
        <v>10</v>
      </c>
      <c r="D587" s="1" t="s">
        <v>1137</v>
      </c>
      <c r="E587" s="1" t="s">
        <v>975</v>
      </c>
      <c r="F587" s="1" t="s">
        <v>152</v>
      </c>
      <c r="G587" s="2">
        <v>306</v>
      </c>
      <c r="H587" s="4">
        <v>0.1242</v>
      </c>
      <c r="I587" s="2">
        <f>45+54+21</f>
        <v>120</v>
      </c>
      <c r="J587" s="1" t="s">
        <v>1140</v>
      </c>
    </row>
    <row r="588" spans="1:10" ht="48">
      <c r="A588" s="1">
        <v>2023</v>
      </c>
      <c r="B588" s="1" t="s">
        <v>9</v>
      </c>
      <c r="C588" s="1" t="s">
        <v>10</v>
      </c>
      <c r="D588" s="1" t="s">
        <v>1166</v>
      </c>
      <c r="E588" s="1" t="s">
        <v>1167</v>
      </c>
      <c r="F588" s="1" t="s">
        <v>1168</v>
      </c>
      <c r="G588" s="2">
        <v>0</v>
      </c>
      <c r="H588" s="4">
        <v>1</v>
      </c>
      <c r="I588" s="4">
        <v>1</v>
      </c>
      <c r="J588" s="1" t="s">
        <v>1169</v>
      </c>
    </row>
    <row r="589" spans="1:10" ht="36">
      <c r="A589" s="1">
        <v>2023</v>
      </c>
      <c r="B589" s="1" t="s">
        <v>9</v>
      </c>
      <c r="C589" s="1" t="s">
        <v>10</v>
      </c>
      <c r="D589" s="1" t="s">
        <v>1166</v>
      </c>
      <c r="E589" s="1" t="s">
        <v>1170</v>
      </c>
      <c r="F589" s="1" t="s">
        <v>1171</v>
      </c>
      <c r="G589" s="2">
        <v>0</v>
      </c>
      <c r="H589" s="4">
        <v>1</v>
      </c>
      <c r="I589" s="4">
        <v>1</v>
      </c>
      <c r="J589" s="1" t="s">
        <v>1169</v>
      </c>
    </row>
    <row r="590" spans="1:10" ht="24">
      <c r="A590" s="1">
        <v>2023</v>
      </c>
      <c r="B590" s="1" t="s">
        <v>9</v>
      </c>
      <c r="C590" s="1" t="s">
        <v>10</v>
      </c>
      <c r="D590" s="1" t="s">
        <v>1166</v>
      </c>
      <c r="E590" s="1" t="s">
        <v>1172</v>
      </c>
      <c r="F590" s="1" t="s">
        <v>1173</v>
      </c>
      <c r="G590" s="2">
        <v>421</v>
      </c>
      <c r="H590" s="2">
        <f>40+45+20</f>
        <v>105</v>
      </c>
      <c r="I590" s="2">
        <f>44+58+50</f>
        <v>152</v>
      </c>
      <c r="J590" s="1" t="s">
        <v>1169</v>
      </c>
    </row>
    <row r="591" spans="1:10" ht="24">
      <c r="A591" s="1">
        <v>2023</v>
      </c>
      <c r="B591" s="1" t="s">
        <v>9</v>
      </c>
      <c r="C591" s="1" t="s">
        <v>10</v>
      </c>
      <c r="D591" s="1" t="s">
        <v>1166</v>
      </c>
      <c r="E591" s="1" t="s">
        <v>1174</v>
      </c>
      <c r="F591" s="1" t="s">
        <v>1175</v>
      </c>
      <c r="G591" s="2">
        <v>0</v>
      </c>
      <c r="H591" s="2">
        <f>10+10+9</f>
        <v>29</v>
      </c>
      <c r="I591" s="2">
        <f>15+13+28</f>
        <v>56</v>
      </c>
      <c r="J591" s="1" t="s">
        <v>1169</v>
      </c>
    </row>
    <row r="592" spans="1:10" ht="24">
      <c r="A592" s="1">
        <v>2023</v>
      </c>
      <c r="B592" s="1" t="s">
        <v>9</v>
      </c>
      <c r="C592" s="1" t="s">
        <v>10</v>
      </c>
      <c r="D592" s="1" t="s">
        <v>1166</v>
      </c>
      <c r="E592" s="1" t="s">
        <v>1176</v>
      </c>
      <c r="F592" s="1" t="s">
        <v>1177</v>
      </c>
      <c r="G592" s="2">
        <v>363</v>
      </c>
      <c r="H592" s="2">
        <f>30+31+30</f>
        <v>91</v>
      </c>
      <c r="I592" s="2">
        <f>31+30+30</f>
        <v>91</v>
      </c>
      <c r="J592" s="1" t="s">
        <v>1169</v>
      </c>
    </row>
    <row r="593" spans="1:10" ht="24">
      <c r="A593" s="1">
        <v>2023</v>
      </c>
      <c r="B593" s="1" t="s">
        <v>9</v>
      </c>
      <c r="C593" s="1" t="s">
        <v>10</v>
      </c>
      <c r="D593" s="1" t="s">
        <v>1166</v>
      </c>
      <c r="E593" s="1" t="s">
        <v>1178</v>
      </c>
      <c r="F593" s="1" t="s">
        <v>1173</v>
      </c>
      <c r="G593" s="2">
        <v>421</v>
      </c>
      <c r="H593" s="2">
        <f>40+45+20</f>
        <v>105</v>
      </c>
      <c r="I593" s="2">
        <f>44+58+50</f>
        <v>152</v>
      </c>
      <c r="J593" s="1" t="s">
        <v>1169</v>
      </c>
    </row>
    <row r="594" spans="1:10" ht="24">
      <c r="A594" s="1">
        <v>2023</v>
      </c>
      <c r="B594" s="1" t="s">
        <v>9</v>
      </c>
      <c r="C594" s="1" t="s">
        <v>10</v>
      </c>
      <c r="D594" s="1" t="s">
        <v>1166</v>
      </c>
      <c r="E594" s="1" t="s">
        <v>1179</v>
      </c>
      <c r="F594" s="1" t="s">
        <v>1180</v>
      </c>
      <c r="G594" s="2">
        <v>0</v>
      </c>
      <c r="H594" s="2">
        <f>10+10+9</f>
        <v>29</v>
      </c>
      <c r="I594" s="2">
        <f>15+13+28</f>
        <v>56</v>
      </c>
      <c r="J594" s="1" t="s">
        <v>1169</v>
      </c>
    </row>
    <row r="595" spans="1:10" ht="24">
      <c r="A595" s="1">
        <v>2023</v>
      </c>
      <c r="B595" s="1" t="s">
        <v>9</v>
      </c>
      <c r="C595" s="1" t="s">
        <v>10</v>
      </c>
      <c r="D595" s="1" t="s">
        <v>1166</v>
      </c>
      <c r="E595" s="1" t="s">
        <v>1181</v>
      </c>
      <c r="F595" s="1" t="s">
        <v>1182</v>
      </c>
      <c r="G595" s="2">
        <v>181.5</v>
      </c>
      <c r="H595" s="2">
        <f t="shared" ref="H595:I595" si="209">16+15+15</f>
        <v>46</v>
      </c>
      <c r="I595" s="2">
        <f t="shared" si="209"/>
        <v>46</v>
      </c>
      <c r="J595" s="1" t="s">
        <v>1169</v>
      </c>
    </row>
    <row r="596" spans="1:10" ht="24">
      <c r="A596" s="1">
        <v>2023</v>
      </c>
      <c r="B596" s="1" t="s">
        <v>9</v>
      </c>
      <c r="C596" s="1" t="s">
        <v>10</v>
      </c>
      <c r="D596" s="1" t="s">
        <v>1166</v>
      </c>
      <c r="E596" s="1" t="s">
        <v>1183</v>
      </c>
      <c r="F596" s="1" t="s">
        <v>1184</v>
      </c>
      <c r="G596" s="2">
        <v>181.5</v>
      </c>
      <c r="H596" s="2">
        <f t="shared" ref="H596:I596" si="210">16+15+15</f>
        <v>46</v>
      </c>
      <c r="I596" s="2">
        <f t="shared" si="210"/>
        <v>46</v>
      </c>
      <c r="J596" s="1" t="s">
        <v>1169</v>
      </c>
    </row>
    <row r="597" spans="1:10" ht="48">
      <c r="A597" s="1">
        <v>2023</v>
      </c>
      <c r="B597" s="1" t="s">
        <v>9</v>
      </c>
      <c r="C597" s="1" t="s">
        <v>10</v>
      </c>
      <c r="D597" s="1" t="s">
        <v>1185</v>
      </c>
      <c r="E597" s="1" t="s">
        <v>1186</v>
      </c>
      <c r="F597" s="1" t="s">
        <v>1187</v>
      </c>
      <c r="G597" s="2">
        <v>0</v>
      </c>
      <c r="H597" s="3">
        <v>1</v>
      </c>
      <c r="I597" s="3">
        <v>1</v>
      </c>
      <c r="J597" s="1" t="s">
        <v>1188</v>
      </c>
    </row>
    <row r="598" spans="1:10" ht="84">
      <c r="A598" s="1">
        <v>2023</v>
      </c>
      <c r="B598" s="1" t="s">
        <v>9</v>
      </c>
      <c r="C598" s="1" t="s">
        <v>10</v>
      </c>
      <c r="D598" s="1" t="s">
        <v>1185</v>
      </c>
      <c r="E598" s="1" t="s">
        <v>1189</v>
      </c>
      <c r="F598" s="1" t="s">
        <v>1190</v>
      </c>
      <c r="G598" s="2">
        <v>0</v>
      </c>
      <c r="H598" s="3">
        <v>1</v>
      </c>
      <c r="I598" s="3">
        <v>1</v>
      </c>
      <c r="J598" s="1" t="s">
        <v>1188</v>
      </c>
    </row>
    <row r="599" spans="1:10" ht="36">
      <c r="A599" s="1">
        <v>2023</v>
      </c>
      <c r="B599" s="1" t="s">
        <v>9</v>
      </c>
      <c r="C599" s="1" t="s">
        <v>10</v>
      </c>
      <c r="D599" s="1" t="s">
        <v>1185</v>
      </c>
      <c r="E599" s="1" t="s">
        <v>1191</v>
      </c>
      <c r="F599" s="1" t="s">
        <v>1192</v>
      </c>
      <c r="G599" s="3">
        <v>1</v>
      </c>
      <c r="H599" s="4">
        <v>0.24990000000000001</v>
      </c>
      <c r="I599" s="4">
        <v>0.24990000000000001</v>
      </c>
      <c r="J599" s="1" t="s">
        <v>1188</v>
      </c>
    </row>
    <row r="600" spans="1:10" ht="48">
      <c r="A600" s="1">
        <v>2023</v>
      </c>
      <c r="B600" s="1" t="s">
        <v>9</v>
      </c>
      <c r="C600" s="1" t="s">
        <v>10</v>
      </c>
      <c r="D600" s="1" t="s">
        <v>1185</v>
      </c>
      <c r="E600" s="1" t="s">
        <v>1193</v>
      </c>
      <c r="F600" s="1" t="s">
        <v>1194</v>
      </c>
      <c r="G600" s="3">
        <v>1</v>
      </c>
      <c r="H600" s="4">
        <v>0.24990000000000001</v>
      </c>
      <c r="I600" s="4">
        <v>0.24979999999999999</v>
      </c>
      <c r="J600" s="1" t="s">
        <v>1188</v>
      </c>
    </row>
    <row r="601" spans="1:10" ht="36">
      <c r="A601" s="1">
        <v>2023</v>
      </c>
      <c r="B601" s="1" t="s">
        <v>9</v>
      </c>
      <c r="C601" s="1" t="s">
        <v>10</v>
      </c>
      <c r="D601" s="1" t="s">
        <v>1185</v>
      </c>
      <c r="E601" s="1" t="s">
        <v>1195</v>
      </c>
      <c r="F601" s="1" t="s">
        <v>1196</v>
      </c>
      <c r="G601" s="3">
        <v>1</v>
      </c>
      <c r="H601" s="4">
        <v>0.24990000000000001</v>
      </c>
      <c r="I601" s="4">
        <v>0.24990000000000001</v>
      </c>
      <c r="J601" s="1" t="s">
        <v>1188</v>
      </c>
    </row>
    <row r="602" spans="1:10" ht="24">
      <c r="A602" s="1">
        <v>2023</v>
      </c>
      <c r="B602" s="1" t="s">
        <v>9</v>
      </c>
      <c r="C602" s="1" t="s">
        <v>10</v>
      </c>
      <c r="D602" s="1" t="s">
        <v>1185</v>
      </c>
      <c r="E602" s="1" t="s">
        <v>1197</v>
      </c>
      <c r="F602" s="1" t="s">
        <v>1198</v>
      </c>
      <c r="G602" s="3">
        <v>1</v>
      </c>
      <c r="H602" s="4">
        <v>0.24990000000000001</v>
      </c>
      <c r="I602" s="4">
        <v>0.24990000000000001</v>
      </c>
      <c r="J602" s="1" t="s">
        <v>1188</v>
      </c>
    </row>
    <row r="603" spans="1:10" ht="48">
      <c r="A603" s="1">
        <v>2023</v>
      </c>
      <c r="B603" s="1" t="s">
        <v>9</v>
      </c>
      <c r="C603" s="1" t="s">
        <v>10</v>
      </c>
      <c r="D603" s="1" t="s">
        <v>1185</v>
      </c>
      <c r="E603" s="1" t="s">
        <v>1199</v>
      </c>
      <c r="F603" s="1" t="s">
        <v>1200</v>
      </c>
      <c r="G603" s="2">
        <v>12</v>
      </c>
      <c r="H603" s="2">
        <v>3</v>
      </c>
      <c r="I603" s="17" t="s">
        <v>1201</v>
      </c>
      <c r="J603" s="1" t="s">
        <v>1188</v>
      </c>
    </row>
    <row r="604" spans="1:10" ht="24">
      <c r="A604" s="1">
        <v>2023</v>
      </c>
      <c r="B604" s="1" t="s">
        <v>9</v>
      </c>
      <c r="C604" s="1" t="s">
        <v>10</v>
      </c>
      <c r="D604" s="1" t="s">
        <v>1185</v>
      </c>
      <c r="E604" s="1" t="s">
        <v>1202</v>
      </c>
      <c r="F604" s="1" t="s">
        <v>1203</v>
      </c>
      <c r="G604" s="2">
        <v>1</v>
      </c>
      <c r="H604" s="2">
        <v>1</v>
      </c>
      <c r="I604" s="17" t="s">
        <v>1204</v>
      </c>
      <c r="J604" s="1" t="s">
        <v>1188</v>
      </c>
    </row>
    <row r="605" spans="1:10" ht="24">
      <c r="A605" s="1">
        <v>2023</v>
      </c>
      <c r="B605" s="1" t="s">
        <v>9</v>
      </c>
      <c r="C605" s="1" t="s">
        <v>10</v>
      </c>
      <c r="D605" s="1" t="s">
        <v>1185</v>
      </c>
      <c r="E605" s="1" t="s">
        <v>1205</v>
      </c>
      <c r="F605" s="1" t="s">
        <v>1206</v>
      </c>
      <c r="G605" s="11">
        <v>16882</v>
      </c>
      <c r="H605" s="2">
        <v>4221</v>
      </c>
      <c r="I605" s="17" t="s">
        <v>1207</v>
      </c>
      <c r="J605" s="1" t="s">
        <v>1188</v>
      </c>
    </row>
    <row r="606" spans="1:10" ht="48">
      <c r="A606" s="1">
        <v>2023</v>
      </c>
      <c r="B606" s="1" t="s">
        <v>9</v>
      </c>
      <c r="C606" s="1" t="s">
        <v>10</v>
      </c>
      <c r="D606" s="1" t="s">
        <v>1185</v>
      </c>
      <c r="E606" s="1" t="s">
        <v>1208</v>
      </c>
      <c r="F606" s="1" t="s">
        <v>1209</v>
      </c>
      <c r="G606" s="2">
        <v>349</v>
      </c>
      <c r="H606" s="2">
        <v>120</v>
      </c>
      <c r="I606" s="17" t="s">
        <v>1210</v>
      </c>
      <c r="J606" s="1" t="s">
        <v>1188</v>
      </c>
    </row>
    <row r="607" spans="1:10" ht="36">
      <c r="A607" s="1">
        <v>2023</v>
      </c>
      <c r="B607" s="1" t="s">
        <v>9</v>
      </c>
      <c r="C607" s="1" t="s">
        <v>10</v>
      </c>
      <c r="D607" s="1" t="s">
        <v>1185</v>
      </c>
      <c r="E607" s="1" t="s">
        <v>1211</v>
      </c>
      <c r="F607" s="1" t="s">
        <v>1212</v>
      </c>
      <c r="G607" s="2">
        <v>3</v>
      </c>
      <c r="H607" s="2">
        <v>0</v>
      </c>
      <c r="I607" s="17" t="s">
        <v>1213</v>
      </c>
      <c r="J607" s="1" t="s">
        <v>1188</v>
      </c>
    </row>
    <row r="608" spans="1:10" ht="24">
      <c r="A608" s="1">
        <v>2023</v>
      </c>
      <c r="B608" s="1" t="s">
        <v>9</v>
      </c>
      <c r="C608" s="1" t="s">
        <v>10</v>
      </c>
      <c r="D608" s="1" t="s">
        <v>1214</v>
      </c>
      <c r="E608" s="1" t="s">
        <v>1215</v>
      </c>
      <c r="F608" s="1" t="s">
        <v>1216</v>
      </c>
      <c r="G608" s="2">
        <v>0</v>
      </c>
      <c r="H608" s="2">
        <v>12</v>
      </c>
      <c r="I608" s="2">
        <v>0</v>
      </c>
      <c r="J608" s="1" t="s">
        <v>1217</v>
      </c>
    </row>
    <row r="609" spans="1:10" ht="60">
      <c r="A609" s="1">
        <v>2023</v>
      </c>
      <c r="B609" s="1" t="s">
        <v>9</v>
      </c>
      <c r="C609" s="1" t="s">
        <v>10</v>
      </c>
      <c r="D609" s="1" t="s">
        <v>1214</v>
      </c>
      <c r="E609" s="1" t="s">
        <v>1218</v>
      </c>
      <c r="F609" s="1" t="s">
        <v>1219</v>
      </c>
      <c r="G609" s="2">
        <v>0</v>
      </c>
      <c r="H609" s="2">
        <v>12</v>
      </c>
      <c r="I609" s="2">
        <v>0</v>
      </c>
      <c r="J609" s="1" t="s">
        <v>1217</v>
      </c>
    </row>
    <row r="610" spans="1:10" ht="24">
      <c r="A610" s="1">
        <v>2023</v>
      </c>
      <c r="B610" s="1" t="s">
        <v>9</v>
      </c>
      <c r="C610" s="1" t="s">
        <v>10</v>
      </c>
      <c r="D610" s="1" t="s">
        <v>1214</v>
      </c>
      <c r="E610" s="1" t="s">
        <v>1220</v>
      </c>
      <c r="F610" s="1" t="s">
        <v>1221</v>
      </c>
      <c r="G610" s="11">
        <v>12000</v>
      </c>
      <c r="H610" s="11">
        <v>3000</v>
      </c>
      <c r="I610" s="11">
        <v>1443</v>
      </c>
      <c r="J610" s="1" t="s">
        <v>1217</v>
      </c>
    </row>
    <row r="611" spans="1:10" ht="36">
      <c r="A611" s="1">
        <v>2023</v>
      </c>
      <c r="B611" s="1" t="s">
        <v>9</v>
      </c>
      <c r="C611" s="1" t="s">
        <v>10</v>
      </c>
      <c r="D611" s="1" t="s">
        <v>1214</v>
      </c>
      <c r="E611" s="1" t="s">
        <v>1222</v>
      </c>
      <c r="F611" s="1" t="s">
        <v>1223</v>
      </c>
      <c r="G611" s="11">
        <v>5400</v>
      </c>
      <c r="H611" s="11">
        <v>1100</v>
      </c>
      <c r="I611" s="11">
        <v>1443</v>
      </c>
      <c r="J611" s="1" t="s">
        <v>1217</v>
      </c>
    </row>
    <row r="612" spans="1:10" ht="24">
      <c r="A612" s="1">
        <v>2023</v>
      </c>
      <c r="B612" s="1" t="s">
        <v>9</v>
      </c>
      <c r="C612" s="1" t="s">
        <v>10</v>
      </c>
      <c r="D612" s="1" t="s">
        <v>1214</v>
      </c>
      <c r="E612" s="1" t="s">
        <v>1224</v>
      </c>
      <c r="F612" s="1" t="s">
        <v>1225</v>
      </c>
      <c r="G612" s="11">
        <v>5400</v>
      </c>
      <c r="H612" s="11">
        <v>1100</v>
      </c>
      <c r="I612" s="11">
        <v>1443</v>
      </c>
      <c r="J612" s="1" t="s">
        <v>1217</v>
      </c>
    </row>
    <row r="613" spans="1:10" ht="24">
      <c r="A613" s="1">
        <v>2023</v>
      </c>
      <c r="B613" s="1" t="s">
        <v>9</v>
      </c>
      <c r="C613" s="1" t="s">
        <v>10</v>
      </c>
      <c r="D613" s="1" t="s">
        <v>1214</v>
      </c>
      <c r="E613" s="1" t="s">
        <v>1226</v>
      </c>
      <c r="F613" s="1" t="s">
        <v>1227</v>
      </c>
      <c r="G613" s="2">
        <v>2143</v>
      </c>
      <c r="H613" s="2">
        <v>540</v>
      </c>
      <c r="I613" s="2">
        <v>5</v>
      </c>
      <c r="J613" s="1" t="s">
        <v>1217</v>
      </c>
    </row>
    <row r="614" spans="1:10" ht="24">
      <c r="A614" s="1">
        <v>2023</v>
      </c>
      <c r="B614" s="1" t="s">
        <v>9</v>
      </c>
      <c r="C614" s="1" t="s">
        <v>10</v>
      </c>
      <c r="D614" s="1" t="s">
        <v>1214</v>
      </c>
      <c r="E614" s="1" t="s">
        <v>1228</v>
      </c>
      <c r="F614" s="1" t="s">
        <v>1229</v>
      </c>
      <c r="G614" s="2">
        <v>5180</v>
      </c>
      <c r="H614" s="2">
        <v>1295</v>
      </c>
      <c r="I614" s="2">
        <v>2848</v>
      </c>
      <c r="J614" s="1" t="s">
        <v>1217</v>
      </c>
    </row>
    <row r="615" spans="1:10" ht="24">
      <c r="A615" s="1">
        <v>2023</v>
      </c>
      <c r="B615" s="1" t="s">
        <v>9</v>
      </c>
      <c r="C615" s="1" t="s">
        <v>10</v>
      </c>
      <c r="D615" s="1" t="s">
        <v>1214</v>
      </c>
      <c r="E615" s="1" t="s">
        <v>1230</v>
      </c>
      <c r="F615" s="1" t="s">
        <v>1231</v>
      </c>
      <c r="G615" s="2">
        <v>5180</v>
      </c>
      <c r="H615" s="2">
        <v>1295</v>
      </c>
      <c r="I615" s="2">
        <v>2848</v>
      </c>
      <c r="J615" s="1" t="s">
        <v>1217</v>
      </c>
    </row>
    <row r="616" spans="1:10" ht="24">
      <c r="A616" s="1">
        <v>2023</v>
      </c>
      <c r="B616" s="1" t="s">
        <v>9</v>
      </c>
      <c r="C616" s="1" t="s">
        <v>10</v>
      </c>
      <c r="D616" s="1" t="s">
        <v>1214</v>
      </c>
      <c r="E616" s="1" t="s">
        <v>1232</v>
      </c>
      <c r="F616" s="1" t="s">
        <v>1233</v>
      </c>
      <c r="G616" s="2">
        <v>5180</v>
      </c>
      <c r="H616" s="2">
        <v>1295</v>
      </c>
      <c r="I616" s="2">
        <v>0</v>
      </c>
      <c r="J616" s="1" t="s">
        <v>1217</v>
      </c>
    </row>
    <row r="617" spans="1:10" ht="24">
      <c r="A617" s="1">
        <v>2023</v>
      </c>
      <c r="B617" s="1" t="s">
        <v>9</v>
      </c>
      <c r="C617" s="1" t="s">
        <v>10</v>
      </c>
      <c r="D617" s="1" t="s">
        <v>1214</v>
      </c>
      <c r="E617" s="1" t="s">
        <v>1234</v>
      </c>
      <c r="F617" s="1" t="s">
        <v>1235</v>
      </c>
      <c r="G617" s="2">
        <v>0</v>
      </c>
      <c r="H617" s="2">
        <v>6</v>
      </c>
      <c r="I617" s="2">
        <v>0</v>
      </c>
      <c r="J617" s="1" t="s">
        <v>1217</v>
      </c>
    </row>
    <row r="618" spans="1:10" ht="48">
      <c r="A618" s="1">
        <v>2023</v>
      </c>
      <c r="B618" s="1" t="s">
        <v>9</v>
      </c>
      <c r="C618" s="1" t="s">
        <v>10</v>
      </c>
      <c r="D618" s="1" t="s">
        <v>1214</v>
      </c>
      <c r="E618" s="1" t="s">
        <v>1236</v>
      </c>
      <c r="F618" s="1" t="s">
        <v>1237</v>
      </c>
      <c r="G618" s="18">
        <v>0</v>
      </c>
      <c r="H618" s="18">
        <v>0</v>
      </c>
      <c r="I618" s="2">
        <v>0</v>
      </c>
      <c r="J618" s="1" t="s">
        <v>1217</v>
      </c>
    </row>
    <row r="619" spans="1:10" ht="24">
      <c r="A619" s="1">
        <v>2023</v>
      </c>
      <c r="B619" s="1" t="s">
        <v>9</v>
      </c>
      <c r="C619" s="1" t="s">
        <v>10</v>
      </c>
      <c r="D619" s="1" t="s">
        <v>1214</v>
      </c>
      <c r="E619" s="1" t="s">
        <v>1238</v>
      </c>
      <c r="F619" s="1" t="s">
        <v>1239</v>
      </c>
      <c r="G619" s="18">
        <v>123</v>
      </c>
      <c r="H619" s="18">
        <v>90</v>
      </c>
      <c r="I619" s="2">
        <v>58</v>
      </c>
      <c r="J619" s="1" t="s">
        <v>1217</v>
      </c>
    </row>
    <row r="620" spans="1:10" ht="24">
      <c r="A620" s="1">
        <v>2023</v>
      </c>
      <c r="B620" s="1" t="s">
        <v>9</v>
      </c>
      <c r="C620" s="1" t="s">
        <v>10</v>
      </c>
      <c r="D620" s="1" t="s">
        <v>1214</v>
      </c>
      <c r="E620" s="1" t="s">
        <v>1234</v>
      </c>
      <c r="F620" s="1" t="s">
        <v>1240</v>
      </c>
      <c r="G620" s="18">
        <v>123</v>
      </c>
      <c r="H620" s="18">
        <v>90</v>
      </c>
      <c r="I620" s="2">
        <v>58</v>
      </c>
      <c r="J620" s="1" t="s">
        <v>1217</v>
      </c>
    </row>
    <row r="621" spans="1:10" ht="24">
      <c r="A621" s="1">
        <v>2023</v>
      </c>
      <c r="B621" s="1" t="s">
        <v>9</v>
      </c>
      <c r="C621" s="1" t="s">
        <v>10</v>
      </c>
      <c r="D621" s="1" t="s">
        <v>1214</v>
      </c>
      <c r="E621" s="1" t="s">
        <v>1241</v>
      </c>
      <c r="F621" s="1" t="s">
        <v>1242</v>
      </c>
      <c r="G621" s="18">
        <v>5180</v>
      </c>
      <c r="H621" s="18">
        <v>1420</v>
      </c>
      <c r="I621" s="2">
        <v>1385</v>
      </c>
      <c r="J621" s="1" t="s">
        <v>1217</v>
      </c>
    </row>
    <row r="622" spans="1:10" ht="24">
      <c r="A622" s="1">
        <v>2023</v>
      </c>
      <c r="B622" s="1" t="s">
        <v>9</v>
      </c>
      <c r="C622" s="1" t="s">
        <v>10</v>
      </c>
      <c r="D622" s="1" t="s">
        <v>1214</v>
      </c>
      <c r="E622" s="1" t="s">
        <v>1243</v>
      </c>
      <c r="F622" s="1" t="s">
        <v>1242</v>
      </c>
      <c r="G622" s="18">
        <v>5180</v>
      </c>
      <c r="H622" s="18">
        <v>1420</v>
      </c>
      <c r="I622" s="2">
        <v>1385</v>
      </c>
      <c r="J622" s="1" t="s">
        <v>1217</v>
      </c>
    </row>
    <row r="623" spans="1:10" ht="24">
      <c r="A623" s="1">
        <v>2023</v>
      </c>
      <c r="B623" s="1" t="s">
        <v>9</v>
      </c>
      <c r="C623" s="1" t="s">
        <v>10</v>
      </c>
      <c r="D623" s="1" t="s">
        <v>1214</v>
      </c>
      <c r="E623" s="1" t="s">
        <v>1244</v>
      </c>
      <c r="F623" s="1" t="s">
        <v>1245</v>
      </c>
      <c r="G623" s="18">
        <v>2143</v>
      </c>
      <c r="H623" s="18">
        <v>523</v>
      </c>
      <c r="I623" s="2">
        <v>5</v>
      </c>
      <c r="J623" s="1" t="s">
        <v>1217</v>
      </c>
    </row>
    <row r="624" spans="1:10" ht="48">
      <c r="A624" s="1">
        <v>2023</v>
      </c>
      <c r="B624" s="1" t="s">
        <v>9</v>
      </c>
      <c r="C624" s="1" t="s">
        <v>10</v>
      </c>
      <c r="D624" s="1" t="s">
        <v>1214</v>
      </c>
      <c r="E624" s="1" t="s">
        <v>1246</v>
      </c>
      <c r="F624" s="1" t="s">
        <v>1247</v>
      </c>
      <c r="G624" s="18">
        <v>0</v>
      </c>
      <c r="H624" s="18">
        <v>0</v>
      </c>
      <c r="I624" s="2">
        <v>0</v>
      </c>
      <c r="J624" s="1" t="s">
        <v>1217</v>
      </c>
    </row>
    <row r="625" spans="1:10" ht="48">
      <c r="A625" s="1">
        <v>2023</v>
      </c>
      <c r="B625" s="1" t="s">
        <v>9</v>
      </c>
      <c r="C625" s="1" t="s">
        <v>10</v>
      </c>
      <c r="D625" s="1" t="s">
        <v>1248</v>
      </c>
      <c r="E625" s="1" t="s">
        <v>1249</v>
      </c>
      <c r="F625" s="1" t="s">
        <v>1250</v>
      </c>
      <c r="G625" s="2">
        <v>0</v>
      </c>
      <c r="H625" s="2">
        <v>100</v>
      </c>
      <c r="I625" s="2">
        <v>97</v>
      </c>
      <c r="J625" s="1" t="s">
        <v>1251</v>
      </c>
    </row>
    <row r="626" spans="1:10" ht="48">
      <c r="A626" s="1">
        <v>2023</v>
      </c>
      <c r="B626" s="1" t="s">
        <v>9</v>
      </c>
      <c r="C626" s="1" t="s">
        <v>10</v>
      </c>
      <c r="D626" s="1" t="s">
        <v>1248</v>
      </c>
      <c r="E626" s="1" t="s">
        <v>1252</v>
      </c>
      <c r="F626" s="1" t="s">
        <v>1253</v>
      </c>
      <c r="G626" s="2">
        <v>0</v>
      </c>
      <c r="H626" s="2">
        <v>100</v>
      </c>
      <c r="I626" s="2">
        <v>97</v>
      </c>
      <c r="J626" s="1" t="s">
        <v>1251</v>
      </c>
    </row>
    <row r="627" spans="1:10" ht="24">
      <c r="A627" s="1">
        <v>2023</v>
      </c>
      <c r="B627" s="1" t="s">
        <v>9</v>
      </c>
      <c r="C627" s="1" t="s">
        <v>10</v>
      </c>
      <c r="D627" s="1" t="s">
        <v>1248</v>
      </c>
      <c r="E627" s="1" t="s">
        <v>1254</v>
      </c>
      <c r="F627" s="1" t="s">
        <v>1254</v>
      </c>
      <c r="G627" s="2">
        <v>1</v>
      </c>
      <c r="H627" s="2">
        <v>1</v>
      </c>
      <c r="I627" s="2">
        <v>0</v>
      </c>
      <c r="J627" s="1" t="s">
        <v>1251</v>
      </c>
    </row>
    <row r="628" spans="1:10" ht="24">
      <c r="A628" s="1">
        <v>2023</v>
      </c>
      <c r="B628" s="1" t="s">
        <v>9</v>
      </c>
      <c r="C628" s="1" t="s">
        <v>10</v>
      </c>
      <c r="D628" s="1" t="s">
        <v>1248</v>
      </c>
      <c r="E628" s="1" t="s">
        <v>1255</v>
      </c>
      <c r="F628" s="1" t="s">
        <v>1256</v>
      </c>
      <c r="G628" s="19">
        <v>129649828</v>
      </c>
      <c r="H628" s="19">
        <v>23290821</v>
      </c>
      <c r="I628" s="19">
        <v>9730434.7799999993</v>
      </c>
      <c r="J628" s="1" t="s">
        <v>1251</v>
      </c>
    </row>
    <row r="629" spans="1:10" ht="24">
      <c r="A629" s="1">
        <v>2023</v>
      </c>
      <c r="B629" s="1" t="s">
        <v>9</v>
      </c>
      <c r="C629" s="1" t="s">
        <v>10</v>
      </c>
      <c r="D629" s="1" t="s">
        <v>1248</v>
      </c>
      <c r="E629" s="1" t="s">
        <v>111</v>
      </c>
      <c r="F629" s="1" t="s">
        <v>1257</v>
      </c>
      <c r="G629" s="2">
        <v>408</v>
      </c>
      <c r="H629" s="2">
        <v>53</v>
      </c>
      <c r="I629" s="2">
        <v>17</v>
      </c>
      <c r="J629" s="1" t="s">
        <v>1251</v>
      </c>
    </row>
    <row r="630" spans="1:10" ht="48">
      <c r="A630" s="1">
        <v>2023</v>
      </c>
      <c r="B630" s="1" t="s">
        <v>9</v>
      </c>
      <c r="C630" s="1" t="s">
        <v>10</v>
      </c>
      <c r="D630" s="1" t="s">
        <v>1248</v>
      </c>
      <c r="E630" s="1" t="s">
        <v>1258</v>
      </c>
      <c r="F630" s="1" t="s">
        <v>1259</v>
      </c>
      <c r="G630" s="2">
        <v>9</v>
      </c>
      <c r="H630" s="2">
        <v>0</v>
      </c>
      <c r="I630" s="2">
        <v>0</v>
      </c>
      <c r="J630" s="1" t="s">
        <v>1251</v>
      </c>
    </row>
    <row r="631" spans="1:10" ht="24">
      <c r="A631" s="1">
        <v>2023</v>
      </c>
      <c r="B631" s="1" t="s">
        <v>9</v>
      </c>
      <c r="C631" s="1" t="s">
        <v>10</v>
      </c>
      <c r="D631" s="1" t="s">
        <v>1248</v>
      </c>
      <c r="E631" s="1" t="s">
        <v>1260</v>
      </c>
      <c r="F631" s="1" t="s">
        <v>1261</v>
      </c>
      <c r="G631" s="2">
        <v>9</v>
      </c>
      <c r="H631" s="2">
        <v>0</v>
      </c>
      <c r="I631" s="2">
        <v>0</v>
      </c>
      <c r="J631" s="1" t="s">
        <v>1251</v>
      </c>
    </row>
    <row r="632" spans="1:10" ht="60">
      <c r="A632" s="1">
        <v>2023</v>
      </c>
      <c r="B632" s="1" t="s">
        <v>9</v>
      </c>
      <c r="C632" s="1" t="s">
        <v>10</v>
      </c>
      <c r="D632" s="1" t="s">
        <v>1248</v>
      </c>
      <c r="E632" s="1" t="s">
        <v>1262</v>
      </c>
      <c r="F632" s="1" t="s">
        <v>1263</v>
      </c>
      <c r="G632" s="2">
        <v>1</v>
      </c>
      <c r="H632" s="2">
        <v>1</v>
      </c>
      <c r="I632" s="2">
        <v>0</v>
      </c>
      <c r="J632" s="1" t="s">
        <v>1251</v>
      </c>
    </row>
    <row r="633" spans="1:10" ht="24">
      <c r="A633" s="1">
        <v>2023</v>
      </c>
      <c r="B633" s="1" t="s">
        <v>9</v>
      </c>
      <c r="C633" s="1" t="s">
        <v>10</v>
      </c>
      <c r="D633" s="1" t="s">
        <v>1248</v>
      </c>
      <c r="E633" s="1" t="s">
        <v>1264</v>
      </c>
      <c r="F633" s="1" t="s">
        <v>1265</v>
      </c>
      <c r="G633" s="11">
        <v>81250</v>
      </c>
      <c r="H633" s="11">
        <v>4200</v>
      </c>
      <c r="I633" s="2">
        <v>3103</v>
      </c>
      <c r="J633" s="1" t="s">
        <v>1251</v>
      </c>
    </row>
    <row r="634" spans="1:10" ht="48">
      <c r="A634" s="1">
        <v>2023</v>
      </c>
      <c r="B634" s="1" t="s">
        <v>9</v>
      </c>
      <c r="C634" s="1" t="s">
        <v>10</v>
      </c>
      <c r="D634" s="1" t="s">
        <v>1248</v>
      </c>
      <c r="E634" s="1" t="s">
        <v>1266</v>
      </c>
      <c r="F634" s="1" t="s">
        <v>1267</v>
      </c>
      <c r="G634" s="2">
        <v>3</v>
      </c>
      <c r="H634" s="2">
        <v>1</v>
      </c>
      <c r="I634" s="2">
        <v>1</v>
      </c>
      <c r="J634" s="1" t="s">
        <v>1251</v>
      </c>
    </row>
    <row r="635" spans="1:10" ht="24">
      <c r="A635" s="1">
        <v>2023</v>
      </c>
      <c r="B635" s="1" t="s">
        <v>9</v>
      </c>
      <c r="C635" s="1" t="s">
        <v>10</v>
      </c>
      <c r="D635" s="1" t="s">
        <v>1248</v>
      </c>
      <c r="E635" s="1" t="s">
        <v>1268</v>
      </c>
      <c r="F635" s="1" t="s">
        <v>1269</v>
      </c>
      <c r="G635" s="2">
        <v>412</v>
      </c>
      <c r="H635" s="2">
        <v>40</v>
      </c>
      <c r="I635" s="2">
        <v>17</v>
      </c>
      <c r="J635" s="1" t="s">
        <v>1251</v>
      </c>
    </row>
    <row r="636" spans="1:10" ht="36">
      <c r="A636" s="1">
        <v>2023</v>
      </c>
      <c r="B636" s="1" t="s">
        <v>9</v>
      </c>
      <c r="C636" s="1" t="s">
        <v>10</v>
      </c>
      <c r="D636" s="1" t="s">
        <v>1248</v>
      </c>
      <c r="E636" s="1" t="s">
        <v>1270</v>
      </c>
      <c r="F636" s="1" t="s">
        <v>1271</v>
      </c>
      <c r="G636" s="2">
        <v>127</v>
      </c>
      <c r="H636" s="2">
        <v>30</v>
      </c>
      <c r="I636" s="2">
        <v>44</v>
      </c>
      <c r="J636" s="1" t="s">
        <v>1251</v>
      </c>
    </row>
    <row r="637" spans="1:10" ht="48">
      <c r="A637" s="1">
        <v>2023</v>
      </c>
      <c r="B637" s="1" t="s">
        <v>9</v>
      </c>
      <c r="C637" s="1" t="s">
        <v>10</v>
      </c>
      <c r="D637" s="1" t="s">
        <v>1272</v>
      </c>
      <c r="E637" s="1" t="s">
        <v>1273</v>
      </c>
      <c r="F637" s="1" t="s">
        <v>1274</v>
      </c>
      <c r="G637" s="2">
        <v>0</v>
      </c>
      <c r="H637" s="2">
        <v>0</v>
      </c>
      <c r="I637" s="2">
        <v>0</v>
      </c>
      <c r="J637" s="1" t="s">
        <v>1275</v>
      </c>
    </row>
    <row r="638" spans="1:10" ht="60">
      <c r="A638" s="1">
        <v>2023</v>
      </c>
      <c r="B638" s="1" t="s">
        <v>9</v>
      </c>
      <c r="C638" s="1" t="s">
        <v>10</v>
      </c>
      <c r="D638" s="1" t="s">
        <v>1272</v>
      </c>
      <c r="E638" s="1" t="s">
        <v>1276</v>
      </c>
      <c r="F638" s="1" t="s">
        <v>1277</v>
      </c>
      <c r="G638" s="2">
        <v>0</v>
      </c>
      <c r="H638" s="2">
        <v>0</v>
      </c>
      <c r="I638" s="2">
        <v>0</v>
      </c>
      <c r="J638" s="1" t="s">
        <v>1275</v>
      </c>
    </row>
    <row r="639" spans="1:10" ht="36">
      <c r="A639" s="1">
        <v>2023</v>
      </c>
      <c r="B639" s="1" t="s">
        <v>9</v>
      </c>
      <c r="C639" s="1" t="s">
        <v>10</v>
      </c>
      <c r="D639" s="1" t="s">
        <v>1272</v>
      </c>
      <c r="E639" s="1" t="s">
        <v>1278</v>
      </c>
      <c r="F639" s="1" t="s">
        <v>1279</v>
      </c>
      <c r="G639" s="11">
        <v>3587</v>
      </c>
      <c r="H639" s="2">
        <v>620</v>
      </c>
      <c r="I639" s="2">
        <v>1231</v>
      </c>
      <c r="J639" s="1" t="s">
        <v>1275</v>
      </c>
    </row>
    <row r="640" spans="1:10" ht="36">
      <c r="A640" s="1">
        <v>2023</v>
      </c>
      <c r="B640" s="1" t="s">
        <v>9</v>
      </c>
      <c r="C640" s="1" t="s">
        <v>10</v>
      </c>
      <c r="D640" s="1" t="s">
        <v>1272</v>
      </c>
      <c r="E640" s="1" t="s">
        <v>1280</v>
      </c>
      <c r="F640" s="1" t="s">
        <v>59</v>
      </c>
      <c r="G640" s="2">
        <v>0</v>
      </c>
      <c r="H640" s="2">
        <v>1</v>
      </c>
      <c r="I640" s="2">
        <v>1</v>
      </c>
      <c r="J640" s="1" t="s">
        <v>1275</v>
      </c>
    </row>
    <row r="641" spans="1:10" ht="24">
      <c r="A641" s="1">
        <v>2023</v>
      </c>
      <c r="B641" s="1" t="s">
        <v>9</v>
      </c>
      <c r="C641" s="1" t="s">
        <v>10</v>
      </c>
      <c r="D641" s="1" t="s">
        <v>1272</v>
      </c>
      <c r="E641" s="1" t="s">
        <v>1281</v>
      </c>
      <c r="F641" s="1" t="s">
        <v>1282</v>
      </c>
      <c r="G641" s="2">
        <v>4028</v>
      </c>
      <c r="H641" s="2">
        <v>1061</v>
      </c>
      <c r="I641" s="2">
        <v>1186</v>
      </c>
      <c r="J641" s="1" t="s">
        <v>1275</v>
      </c>
    </row>
    <row r="642" spans="1:10" ht="24">
      <c r="A642" s="1">
        <v>2023</v>
      </c>
      <c r="B642" s="1" t="s">
        <v>9</v>
      </c>
      <c r="C642" s="1" t="s">
        <v>10</v>
      </c>
      <c r="D642" s="1" t="s">
        <v>1272</v>
      </c>
      <c r="E642" s="1" t="s">
        <v>1283</v>
      </c>
      <c r="F642" s="1" t="s">
        <v>1284</v>
      </c>
      <c r="G642" s="2">
        <v>128</v>
      </c>
      <c r="H642" s="2">
        <v>37</v>
      </c>
      <c r="I642" s="2">
        <v>6</v>
      </c>
      <c r="J642" s="1" t="s">
        <v>1275</v>
      </c>
    </row>
    <row r="643" spans="1:10" ht="36">
      <c r="A643" s="1">
        <v>2023</v>
      </c>
      <c r="B643" s="1" t="s">
        <v>9</v>
      </c>
      <c r="C643" s="1" t="s">
        <v>10</v>
      </c>
      <c r="D643" s="1" t="s">
        <v>1272</v>
      </c>
      <c r="E643" s="1" t="s">
        <v>1285</v>
      </c>
      <c r="F643" s="1" t="s">
        <v>1286</v>
      </c>
      <c r="G643" s="2">
        <v>3587</v>
      </c>
      <c r="H643" s="2">
        <v>620</v>
      </c>
      <c r="I643" s="2">
        <v>1231</v>
      </c>
      <c r="J643" s="1" t="s">
        <v>1275</v>
      </c>
    </row>
    <row r="644" spans="1:10" ht="36">
      <c r="A644" s="1">
        <v>2023</v>
      </c>
      <c r="B644" s="1" t="s">
        <v>9</v>
      </c>
      <c r="C644" s="1" t="s">
        <v>10</v>
      </c>
      <c r="D644" s="1" t="s">
        <v>1272</v>
      </c>
      <c r="E644" s="1" t="s">
        <v>1287</v>
      </c>
      <c r="F644" s="1" t="s">
        <v>1288</v>
      </c>
      <c r="G644" s="2">
        <v>0</v>
      </c>
      <c r="H644" s="2">
        <v>1</v>
      </c>
      <c r="I644" s="2">
        <v>1</v>
      </c>
      <c r="J644" s="1" t="s">
        <v>1275</v>
      </c>
    </row>
    <row r="645" spans="1:10" ht="48">
      <c r="A645" s="1">
        <v>2023</v>
      </c>
      <c r="B645" s="1" t="s">
        <v>9</v>
      </c>
      <c r="C645" s="1" t="s">
        <v>10</v>
      </c>
      <c r="D645" s="1" t="s">
        <v>1272</v>
      </c>
      <c r="E645" s="1" t="s">
        <v>1289</v>
      </c>
      <c r="F645" s="1" t="s">
        <v>1290</v>
      </c>
      <c r="G645" s="2">
        <v>0</v>
      </c>
      <c r="H645" s="2">
        <v>1</v>
      </c>
      <c r="I645" s="2">
        <v>0</v>
      </c>
      <c r="J645" s="1" t="s">
        <v>1275</v>
      </c>
    </row>
    <row r="646" spans="1:10" ht="180">
      <c r="A646" s="1">
        <v>2023</v>
      </c>
      <c r="B646" s="1" t="s">
        <v>9</v>
      </c>
      <c r="C646" s="1" t="s">
        <v>10</v>
      </c>
      <c r="D646" s="1" t="s">
        <v>1291</v>
      </c>
      <c r="E646" s="1" t="s">
        <v>1292</v>
      </c>
      <c r="F646" s="1" t="s">
        <v>1293</v>
      </c>
      <c r="G646" s="2">
        <v>0</v>
      </c>
      <c r="H646" s="2">
        <v>100</v>
      </c>
      <c r="I646" s="2">
        <v>0</v>
      </c>
      <c r="J646" s="1" t="s">
        <v>1294</v>
      </c>
    </row>
    <row r="647" spans="1:10" ht="84">
      <c r="A647" s="1">
        <v>2023</v>
      </c>
      <c r="B647" s="1" t="s">
        <v>9</v>
      </c>
      <c r="C647" s="1" t="s">
        <v>10</v>
      </c>
      <c r="D647" s="1" t="s">
        <v>1291</v>
      </c>
      <c r="E647" s="1" t="s">
        <v>1295</v>
      </c>
      <c r="F647" s="1" t="s">
        <v>1296</v>
      </c>
      <c r="G647" s="2">
        <v>0</v>
      </c>
      <c r="H647" s="2">
        <v>100</v>
      </c>
      <c r="I647" s="2">
        <v>0</v>
      </c>
      <c r="J647" s="1" t="s">
        <v>1294</v>
      </c>
    </row>
    <row r="648" spans="1:10" ht="36">
      <c r="A648" s="1">
        <v>2023</v>
      </c>
      <c r="B648" s="1" t="s">
        <v>9</v>
      </c>
      <c r="C648" s="1" t="s">
        <v>10</v>
      </c>
      <c r="D648" s="1" t="s">
        <v>1291</v>
      </c>
      <c r="E648" s="1" t="s">
        <v>1297</v>
      </c>
      <c r="F648" s="1" t="s">
        <v>1298</v>
      </c>
      <c r="G648" s="4">
        <v>0.8</v>
      </c>
      <c r="H648" s="4">
        <v>0.25</v>
      </c>
      <c r="I648" s="4">
        <v>0.24829999999999999</v>
      </c>
      <c r="J648" s="1" t="s">
        <v>1294</v>
      </c>
    </row>
    <row r="649" spans="1:10" ht="60">
      <c r="A649" s="1">
        <v>2023</v>
      </c>
      <c r="B649" s="1" t="s">
        <v>9</v>
      </c>
      <c r="C649" s="1" t="s">
        <v>10</v>
      </c>
      <c r="D649" s="1" t="s">
        <v>1291</v>
      </c>
      <c r="E649" s="1" t="s">
        <v>1299</v>
      </c>
      <c r="F649" s="1" t="s">
        <v>1300</v>
      </c>
      <c r="G649" s="4">
        <v>0.8</v>
      </c>
      <c r="H649" s="4">
        <v>0.25</v>
      </c>
      <c r="I649" s="4">
        <v>0.25</v>
      </c>
      <c r="J649" s="1" t="s">
        <v>1294</v>
      </c>
    </row>
    <row r="650" spans="1:10" ht="48">
      <c r="A650" s="1">
        <v>2023</v>
      </c>
      <c r="B650" s="1" t="s">
        <v>9</v>
      </c>
      <c r="C650" s="1" t="s">
        <v>10</v>
      </c>
      <c r="D650" s="1" t="s">
        <v>1291</v>
      </c>
      <c r="E650" s="1" t="s">
        <v>1301</v>
      </c>
      <c r="F650" s="1" t="s">
        <v>1302</v>
      </c>
      <c r="G650" s="4">
        <v>0.5</v>
      </c>
      <c r="H650" s="4">
        <v>0.3</v>
      </c>
      <c r="I650" s="4">
        <v>0</v>
      </c>
      <c r="J650" s="1" t="s">
        <v>1294</v>
      </c>
    </row>
    <row r="651" spans="1:10" ht="84">
      <c r="A651" s="1">
        <v>2023</v>
      </c>
      <c r="B651" s="1" t="s">
        <v>9</v>
      </c>
      <c r="C651" s="1" t="s">
        <v>10</v>
      </c>
      <c r="D651" s="1" t="s">
        <v>1291</v>
      </c>
      <c r="E651" s="1" t="s">
        <v>1303</v>
      </c>
      <c r="F651" s="1" t="s">
        <v>1304</v>
      </c>
      <c r="G651" s="2">
        <v>30</v>
      </c>
      <c r="H651" s="2">
        <v>90</v>
      </c>
      <c r="I651" s="2">
        <v>60</v>
      </c>
      <c r="J651" s="1" t="s">
        <v>1294</v>
      </c>
    </row>
    <row r="652" spans="1:10" ht="84">
      <c r="A652" s="1">
        <v>2023</v>
      </c>
      <c r="B652" s="1" t="s">
        <v>9</v>
      </c>
      <c r="C652" s="1" t="s">
        <v>10</v>
      </c>
      <c r="D652" s="1" t="s">
        <v>1291</v>
      </c>
      <c r="E652" s="1" t="s">
        <v>1305</v>
      </c>
      <c r="F652" s="1" t="s">
        <v>1306</v>
      </c>
      <c r="G652" s="2">
        <v>1</v>
      </c>
      <c r="H652" s="2">
        <v>0.25</v>
      </c>
      <c r="I652" s="20">
        <v>0</v>
      </c>
      <c r="J652" s="1" t="s">
        <v>1294</v>
      </c>
    </row>
    <row r="653" spans="1:10" ht="132">
      <c r="A653" s="1">
        <v>2023</v>
      </c>
      <c r="B653" s="1" t="s">
        <v>9</v>
      </c>
      <c r="C653" s="1" t="s">
        <v>10</v>
      </c>
      <c r="D653" s="1" t="s">
        <v>1291</v>
      </c>
      <c r="E653" s="1" t="s">
        <v>1307</v>
      </c>
      <c r="F653" s="1" t="s">
        <v>1308</v>
      </c>
      <c r="G653" s="2">
        <v>5</v>
      </c>
      <c r="H653" s="2">
        <v>1</v>
      </c>
      <c r="I653" s="2">
        <v>1</v>
      </c>
      <c r="J653" s="1" t="s">
        <v>1294</v>
      </c>
    </row>
    <row r="654" spans="1:10" ht="36">
      <c r="A654" s="1">
        <v>2023</v>
      </c>
      <c r="B654" s="1" t="s">
        <v>9</v>
      </c>
      <c r="C654" s="1" t="s">
        <v>10</v>
      </c>
      <c r="D654" s="1" t="s">
        <v>1291</v>
      </c>
      <c r="E654" s="1" t="s">
        <v>1309</v>
      </c>
      <c r="F654" s="1" t="s">
        <v>1310</v>
      </c>
      <c r="G654" s="2">
        <v>12</v>
      </c>
      <c r="H654" s="2">
        <v>3</v>
      </c>
      <c r="I654" s="2">
        <v>2</v>
      </c>
      <c r="J654" s="1" t="s">
        <v>1294</v>
      </c>
    </row>
    <row r="655" spans="1:10" ht="36">
      <c r="A655" s="1">
        <v>2023</v>
      </c>
      <c r="B655" s="1" t="s">
        <v>9</v>
      </c>
      <c r="C655" s="1" t="s">
        <v>10</v>
      </c>
      <c r="D655" s="1" t="s">
        <v>1291</v>
      </c>
      <c r="E655" s="1" t="s">
        <v>1311</v>
      </c>
      <c r="F655" s="1" t="s">
        <v>1312</v>
      </c>
      <c r="G655" s="2">
        <v>4</v>
      </c>
      <c r="H655" s="2">
        <v>1</v>
      </c>
      <c r="I655" s="2">
        <v>1</v>
      </c>
      <c r="J655" s="1" t="s">
        <v>1294</v>
      </c>
    </row>
    <row r="656" spans="1:10" ht="60">
      <c r="A656" s="1">
        <v>2023</v>
      </c>
      <c r="B656" s="1" t="s">
        <v>9</v>
      </c>
      <c r="C656" s="1" t="s">
        <v>10</v>
      </c>
      <c r="D656" s="1" t="s">
        <v>1291</v>
      </c>
      <c r="E656" s="1" t="s">
        <v>1313</v>
      </c>
      <c r="F656" s="1" t="s">
        <v>1308</v>
      </c>
      <c r="G656" s="2">
        <v>4</v>
      </c>
      <c r="H656" s="2">
        <v>1</v>
      </c>
      <c r="I656" s="2">
        <v>1</v>
      </c>
      <c r="J656" s="1" t="s">
        <v>1294</v>
      </c>
    </row>
    <row r="657" spans="1:10" ht="36">
      <c r="A657" s="1">
        <v>2023</v>
      </c>
      <c r="B657" s="1" t="s">
        <v>9</v>
      </c>
      <c r="C657" s="1" t="s">
        <v>1314</v>
      </c>
      <c r="D657" s="1" t="s">
        <v>1315</v>
      </c>
      <c r="E657" s="1" t="s">
        <v>1316</v>
      </c>
      <c r="F657" s="1" t="s">
        <v>1317</v>
      </c>
      <c r="G657" s="2">
        <v>0</v>
      </c>
      <c r="H657" s="3">
        <f t="shared" ref="H657:I657" si="211">0+0+100%</f>
        <v>1</v>
      </c>
      <c r="I657" s="3">
        <f t="shared" si="211"/>
        <v>1</v>
      </c>
      <c r="J657" s="1" t="s">
        <v>1318</v>
      </c>
    </row>
    <row r="658" spans="1:10" ht="36">
      <c r="A658" s="1">
        <v>2023</v>
      </c>
      <c r="B658" s="1" t="s">
        <v>9</v>
      </c>
      <c r="C658" s="1" t="s">
        <v>1314</v>
      </c>
      <c r="D658" s="1" t="s">
        <v>1315</v>
      </c>
      <c r="E658" s="1" t="s">
        <v>1319</v>
      </c>
      <c r="F658" s="1" t="s">
        <v>1320</v>
      </c>
      <c r="G658" s="2">
        <v>0</v>
      </c>
      <c r="H658" s="3">
        <f t="shared" ref="H658:I658" si="212">0+0+100%</f>
        <v>1</v>
      </c>
      <c r="I658" s="3">
        <f t="shared" si="212"/>
        <v>1</v>
      </c>
      <c r="J658" s="1" t="s">
        <v>1318</v>
      </c>
    </row>
    <row r="659" spans="1:10" ht="36">
      <c r="A659" s="1">
        <v>2023</v>
      </c>
      <c r="B659" s="1" t="s">
        <v>9</v>
      </c>
      <c r="C659" s="1" t="s">
        <v>1314</v>
      </c>
      <c r="D659" s="1" t="s">
        <v>1315</v>
      </c>
      <c r="E659" s="1" t="s">
        <v>1321</v>
      </c>
      <c r="F659" s="1" t="s">
        <v>1322</v>
      </c>
      <c r="G659" s="2">
        <v>1877</v>
      </c>
      <c r="H659" s="2">
        <f>61+61+61</f>
        <v>183</v>
      </c>
      <c r="I659" s="2">
        <f>94+91+87</f>
        <v>272</v>
      </c>
      <c r="J659" s="1" t="s">
        <v>1318</v>
      </c>
    </row>
    <row r="660" spans="1:10" ht="36">
      <c r="A660" s="1">
        <v>2023</v>
      </c>
      <c r="B660" s="1" t="s">
        <v>9</v>
      </c>
      <c r="C660" s="1" t="s">
        <v>1314</v>
      </c>
      <c r="D660" s="1" t="s">
        <v>1315</v>
      </c>
      <c r="E660" s="1" t="s">
        <v>1323</v>
      </c>
      <c r="F660" s="1" t="s">
        <v>1324</v>
      </c>
      <c r="G660" s="2">
        <v>0</v>
      </c>
      <c r="H660" s="2">
        <f>390+393+394</f>
        <v>1177</v>
      </c>
      <c r="I660" s="2">
        <f>264+257+214</f>
        <v>735</v>
      </c>
      <c r="J660" s="1" t="s">
        <v>1318</v>
      </c>
    </row>
    <row r="661" spans="1:10" ht="36">
      <c r="A661" s="1">
        <v>2023</v>
      </c>
      <c r="B661" s="1" t="s">
        <v>9</v>
      </c>
      <c r="C661" s="1" t="s">
        <v>1314</v>
      </c>
      <c r="D661" s="1" t="s">
        <v>1315</v>
      </c>
      <c r="E661" s="1" t="s">
        <v>1325</v>
      </c>
      <c r="F661" s="1" t="s">
        <v>964</v>
      </c>
      <c r="G661" s="5">
        <v>939</v>
      </c>
      <c r="H661" s="5">
        <f>49+50+50</f>
        <v>149</v>
      </c>
      <c r="I661" s="5">
        <f>56+58+53</f>
        <v>167</v>
      </c>
      <c r="J661" s="1" t="s">
        <v>1318</v>
      </c>
    </row>
    <row r="662" spans="1:10" ht="36">
      <c r="A662" s="1">
        <v>2023</v>
      </c>
      <c r="B662" s="1" t="s">
        <v>9</v>
      </c>
      <c r="C662" s="1" t="s">
        <v>1314</v>
      </c>
      <c r="D662" s="1" t="s">
        <v>1315</v>
      </c>
      <c r="E662" s="1" t="s">
        <v>1326</v>
      </c>
      <c r="F662" s="1" t="s">
        <v>1327</v>
      </c>
      <c r="G662" s="2">
        <v>939</v>
      </c>
      <c r="H662" s="2">
        <f>12+11+12</f>
        <v>35</v>
      </c>
      <c r="I662" s="5">
        <f>38+33+34</f>
        <v>105</v>
      </c>
      <c r="J662" s="1" t="s">
        <v>1318</v>
      </c>
    </row>
    <row r="663" spans="1:10" ht="36">
      <c r="A663" s="1">
        <v>2023</v>
      </c>
      <c r="B663" s="1" t="s">
        <v>9</v>
      </c>
      <c r="C663" s="1" t="s">
        <v>1314</v>
      </c>
      <c r="D663" s="1" t="s">
        <v>1315</v>
      </c>
      <c r="E663" s="1" t="s">
        <v>975</v>
      </c>
      <c r="F663" s="1" t="s">
        <v>152</v>
      </c>
      <c r="G663" s="2">
        <v>0</v>
      </c>
      <c r="H663" s="11">
        <f>75+75+75</f>
        <v>225</v>
      </c>
      <c r="I663" s="5">
        <f>12+12+12</f>
        <v>36</v>
      </c>
      <c r="J663" s="1" t="s">
        <v>1318</v>
      </c>
    </row>
    <row r="664" spans="1:10" ht="36">
      <c r="A664" s="1">
        <v>2023</v>
      </c>
      <c r="B664" s="1" t="s">
        <v>9</v>
      </c>
      <c r="C664" s="1" t="s">
        <v>1314</v>
      </c>
      <c r="D664" s="1" t="s">
        <v>1315</v>
      </c>
      <c r="E664" s="1" t="s">
        <v>1328</v>
      </c>
      <c r="F664" s="1" t="s">
        <v>512</v>
      </c>
      <c r="G664" s="2">
        <v>0</v>
      </c>
      <c r="H664" s="11">
        <f>612+620+620</f>
        <v>1852</v>
      </c>
      <c r="I664" s="5">
        <f>264+257+214</f>
        <v>735</v>
      </c>
      <c r="J664" s="1" t="s">
        <v>1318</v>
      </c>
    </row>
    <row r="665" spans="1:10" ht="48">
      <c r="A665" s="1">
        <v>2023</v>
      </c>
      <c r="B665" s="1" t="s">
        <v>9</v>
      </c>
      <c r="C665" s="1" t="s">
        <v>1314</v>
      </c>
      <c r="D665" s="1" t="s">
        <v>1329</v>
      </c>
      <c r="E665" s="1" t="s">
        <v>1330</v>
      </c>
      <c r="F665" s="1" t="s">
        <v>1331</v>
      </c>
      <c r="G665" s="2">
        <v>0</v>
      </c>
      <c r="H665" s="3">
        <f t="shared" ref="H665:I665" si="213">0+0+100%</f>
        <v>1</v>
      </c>
      <c r="I665" s="3">
        <f t="shared" si="213"/>
        <v>1</v>
      </c>
      <c r="J665" s="1" t="s">
        <v>1332</v>
      </c>
    </row>
    <row r="666" spans="1:10" ht="36">
      <c r="A666" s="1">
        <v>2023</v>
      </c>
      <c r="B666" s="1" t="s">
        <v>9</v>
      </c>
      <c r="C666" s="1" t="s">
        <v>1314</v>
      </c>
      <c r="D666" s="1" t="s">
        <v>1329</v>
      </c>
      <c r="E666" s="1" t="s">
        <v>1333</v>
      </c>
      <c r="F666" s="1" t="s">
        <v>1334</v>
      </c>
      <c r="G666" s="2">
        <v>0</v>
      </c>
      <c r="H666" s="3">
        <f t="shared" ref="H666:I666" si="214">0+0+100%</f>
        <v>1</v>
      </c>
      <c r="I666" s="3">
        <f t="shared" si="214"/>
        <v>1</v>
      </c>
      <c r="J666" s="1" t="s">
        <v>1332</v>
      </c>
    </row>
    <row r="667" spans="1:10" ht="24">
      <c r="A667" s="1">
        <v>2023</v>
      </c>
      <c r="B667" s="1" t="s">
        <v>9</v>
      </c>
      <c r="C667" s="1" t="s">
        <v>1314</v>
      </c>
      <c r="D667" s="1" t="s">
        <v>1329</v>
      </c>
      <c r="E667" s="1" t="s">
        <v>1335</v>
      </c>
      <c r="F667" s="1" t="s">
        <v>1336</v>
      </c>
      <c r="G667" s="2">
        <v>1460</v>
      </c>
      <c r="H667" s="2">
        <f t="shared" ref="H667:I667" si="215">124+120+124</f>
        <v>368</v>
      </c>
      <c r="I667" s="2">
        <f t="shared" si="215"/>
        <v>368</v>
      </c>
      <c r="J667" s="1" t="s">
        <v>1332</v>
      </c>
    </row>
    <row r="668" spans="1:10" ht="24">
      <c r="A668" s="1">
        <v>2023</v>
      </c>
      <c r="B668" s="1" t="s">
        <v>9</v>
      </c>
      <c r="C668" s="1" t="s">
        <v>1314</v>
      </c>
      <c r="D668" s="1" t="s">
        <v>1329</v>
      </c>
      <c r="E668" s="1" t="s">
        <v>1337</v>
      </c>
      <c r="F668" s="1" t="s">
        <v>1338</v>
      </c>
      <c r="G668" s="2">
        <v>2503</v>
      </c>
      <c r="H668" s="2">
        <f t="shared" ref="H668:I668" si="216">442+428+442</f>
        <v>1312</v>
      </c>
      <c r="I668" s="2">
        <f t="shared" si="216"/>
        <v>1312</v>
      </c>
      <c r="J668" s="1" t="s">
        <v>1332</v>
      </c>
    </row>
    <row r="669" spans="1:10" ht="36">
      <c r="A669" s="1">
        <v>2023</v>
      </c>
      <c r="B669" s="1" t="s">
        <v>9</v>
      </c>
      <c r="C669" s="1" t="s">
        <v>1314</v>
      </c>
      <c r="D669" s="1" t="s">
        <v>1329</v>
      </c>
      <c r="E669" s="1" t="s">
        <v>1339</v>
      </c>
      <c r="F669" s="1" t="s">
        <v>1340</v>
      </c>
      <c r="G669" s="11">
        <v>365</v>
      </c>
      <c r="H669" s="11">
        <f t="shared" ref="H669:I669" si="217">31+30+31</f>
        <v>92</v>
      </c>
      <c r="I669" s="11">
        <f t="shared" si="217"/>
        <v>92</v>
      </c>
      <c r="J669" s="1" t="s">
        <v>1332</v>
      </c>
    </row>
    <row r="670" spans="1:10" ht="36">
      <c r="A670" s="1">
        <v>2023</v>
      </c>
      <c r="B670" s="1" t="s">
        <v>9</v>
      </c>
      <c r="C670" s="1" t="s">
        <v>1314</v>
      </c>
      <c r="D670" s="1" t="s">
        <v>1329</v>
      </c>
      <c r="E670" s="1" t="s">
        <v>1341</v>
      </c>
      <c r="F670" s="1" t="s">
        <v>1342</v>
      </c>
      <c r="G670" s="11">
        <v>365</v>
      </c>
      <c r="H670" s="11">
        <f t="shared" ref="H670:I670" si="218">31+30+31</f>
        <v>92</v>
      </c>
      <c r="I670" s="11">
        <f t="shared" si="218"/>
        <v>92</v>
      </c>
      <c r="J670" s="1" t="s">
        <v>1332</v>
      </c>
    </row>
    <row r="671" spans="1:10" ht="36">
      <c r="A671" s="1">
        <v>2023</v>
      </c>
      <c r="B671" s="1" t="s">
        <v>9</v>
      </c>
      <c r="C671" s="1" t="s">
        <v>1314</v>
      </c>
      <c r="D671" s="1" t="s">
        <v>1329</v>
      </c>
      <c r="E671" s="1" t="s">
        <v>1343</v>
      </c>
      <c r="F671" s="1" t="s">
        <v>1344</v>
      </c>
      <c r="G671" s="11">
        <v>365</v>
      </c>
      <c r="H671" s="11">
        <f t="shared" ref="H671:I671" si="219">31+30+31</f>
        <v>92</v>
      </c>
      <c r="I671" s="11">
        <f t="shared" si="219"/>
        <v>92</v>
      </c>
      <c r="J671" s="1" t="s">
        <v>1332</v>
      </c>
    </row>
    <row r="672" spans="1:10" ht="36">
      <c r="A672" s="1">
        <v>2023</v>
      </c>
      <c r="B672" s="1" t="s">
        <v>9</v>
      </c>
      <c r="C672" s="1" t="s">
        <v>1314</v>
      </c>
      <c r="D672" s="1" t="s">
        <v>1329</v>
      </c>
      <c r="E672" s="1" t="s">
        <v>1345</v>
      </c>
      <c r="F672" s="1" t="s">
        <v>1346</v>
      </c>
      <c r="G672" s="11">
        <v>365</v>
      </c>
      <c r="H672" s="11">
        <f t="shared" ref="H672:I672" si="220">31+30+31</f>
        <v>92</v>
      </c>
      <c r="I672" s="11">
        <f t="shared" si="220"/>
        <v>92</v>
      </c>
      <c r="J672" s="1" t="s">
        <v>1332</v>
      </c>
    </row>
    <row r="673" spans="1:10" ht="24">
      <c r="A673" s="1">
        <v>2023</v>
      </c>
      <c r="B673" s="1" t="s">
        <v>9</v>
      </c>
      <c r="C673" s="1" t="s">
        <v>1314</v>
      </c>
      <c r="D673" s="1" t="s">
        <v>1329</v>
      </c>
      <c r="E673" s="1" t="s">
        <v>1347</v>
      </c>
      <c r="F673" s="1" t="s">
        <v>1348</v>
      </c>
      <c r="G673" s="11">
        <v>358</v>
      </c>
      <c r="H673" s="11">
        <f t="shared" ref="H673:I673" si="221">93+90+93</f>
        <v>276</v>
      </c>
      <c r="I673" s="11">
        <f t="shared" si="221"/>
        <v>276</v>
      </c>
      <c r="J673" s="1" t="s">
        <v>1332</v>
      </c>
    </row>
    <row r="674" spans="1:10" ht="24">
      <c r="A674" s="1">
        <v>2023</v>
      </c>
      <c r="B674" s="1" t="s">
        <v>9</v>
      </c>
      <c r="C674" s="1" t="s">
        <v>1314</v>
      </c>
      <c r="D674" s="1" t="s">
        <v>1329</v>
      </c>
      <c r="E674" s="1" t="s">
        <v>1349</v>
      </c>
      <c r="F674" s="1" t="s">
        <v>1350</v>
      </c>
      <c r="G674" s="11">
        <v>358</v>
      </c>
      <c r="H674" s="11">
        <f t="shared" ref="H674:I674" si="222">93+90+93</f>
        <v>276</v>
      </c>
      <c r="I674" s="11">
        <f t="shared" si="222"/>
        <v>276</v>
      </c>
      <c r="J674" s="1" t="s">
        <v>1332</v>
      </c>
    </row>
    <row r="675" spans="1:10" ht="36">
      <c r="A675" s="1">
        <v>2023</v>
      </c>
      <c r="B675" s="1" t="s">
        <v>9</v>
      </c>
      <c r="C675" s="1" t="s">
        <v>1314</v>
      </c>
      <c r="D675" s="1" t="s">
        <v>1329</v>
      </c>
      <c r="E675" s="1" t="s">
        <v>1351</v>
      </c>
      <c r="F675" s="1" t="s">
        <v>1352</v>
      </c>
      <c r="G675" s="11">
        <v>358</v>
      </c>
      <c r="H675" s="11">
        <f t="shared" ref="H675:I675" si="223">62+60+62</f>
        <v>184</v>
      </c>
      <c r="I675" s="11">
        <f t="shared" si="223"/>
        <v>184</v>
      </c>
      <c r="J675" s="1" t="s">
        <v>1332</v>
      </c>
    </row>
    <row r="676" spans="1:10" ht="24">
      <c r="A676" s="1">
        <v>2023</v>
      </c>
      <c r="B676" s="1" t="s">
        <v>9</v>
      </c>
      <c r="C676" s="1" t="s">
        <v>1314</v>
      </c>
      <c r="D676" s="1" t="s">
        <v>1329</v>
      </c>
      <c r="E676" s="1" t="s">
        <v>1353</v>
      </c>
      <c r="F676" s="1" t="s">
        <v>1354</v>
      </c>
      <c r="G676" s="11">
        <v>358</v>
      </c>
      <c r="H676" s="11">
        <f t="shared" ref="H676:I676" si="224">62+60+62</f>
        <v>184</v>
      </c>
      <c r="I676" s="11">
        <f t="shared" si="224"/>
        <v>184</v>
      </c>
      <c r="J676" s="1" t="s">
        <v>1332</v>
      </c>
    </row>
    <row r="677" spans="1:10" ht="24">
      <c r="A677" s="1">
        <v>2023</v>
      </c>
      <c r="B677" s="1" t="s">
        <v>9</v>
      </c>
      <c r="C677" s="1" t="s">
        <v>1314</v>
      </c>
      <c r="D677" s="1" t="s">
        <v>1329</v>
      </c>
      <c r="E677" s="1" t="s">
        <v>1355</v>
      </c>
      <c r="F677" s="1" t="s">
        <v>1356</v>
      </c>
      <c r="G677" s="11">
        <v>358</v>
      </c>
      <c r="H677" s="11">
        <f t="shared" ref="H677:I677" si="225">31+30+31</f>
        <v>92</v>
      </c>
      <c r="I677" s="11">
        <f t="shared" si="225"/>
        <v>92</v>
      </c>
      <c r="J677" s="1" t="s">
        <v>1332</v>
      </c>
    </row>
    <row r="678" spans="1:10" ht="24">
      <c r="A678" s="1">
        <v>2023</v>
      </c>
      <c r="B678" s="1" t="s">
        <v>9</v>
      </c>
      <c r="C678" s="1" t="s">
        <v>1314</v>
      </c>
      <c r="D678" s="1" t="s">
        <v>1329</v>
      </c>
      <c r="E678" s="1" t="s">
        <v>1357</v>
      </c>
      <c r="F678" s="1" t="s">
        <v>1358</v>
      </c>
      <c r="G678" s="11">
        <v>358</v>
      </c>
      <c r="H678" s="11">
        <f t="shared" ref="H678:I678" si="226">31+30+31</f>
        <v>92</v>
      </c>
      <c r="I678" s="11">
        <f t="shared" si="226"/>
        <v>92</v>
      </c>
      <c r="J678" s="1" t="s">
        <v>1332</v>
      </c>
    </row>
    <row r="679" spans="1:10" ht="24">
      <c r="A679" s="1">
        <v>2023</v>
      </c>
      <c r="B679" s="1" t="s">
        <v>9</v>
      </c>
      <c r="C679" s="1" t="s">
        <v>1314</v>
      </c>
      <c r="D679" s="1" t="s">
        <v>1329</v>
      </c>
      <c r="E679" s="1" t="s">
        <v>1359</v>
      </c>
      <c r="F679" s="1" t="s">
        <v>1360</v>
      </c>
      <c r="G679" s="11">
        <v>358</v>
      </c>
      <c r="H679" s="11">
        <f t="shared" ref="H679:I679" si="227">93+90+93</f>
        <v>276</v>
      </c>
      <c r="I679" s="11">
        <f t="shared" si="227"/>
        <v>276</v>
      </c>
      <c r="J679" s="1" t="s">
        <v>1332</v>
      </c>
    </row>
    <row r="680" spans="1:10" ht="24">
      <c r="A680" s="1">
        <v>2023</v>
      </c>
      <c r="B680" s="1" t="s">
        <v>9</v>
      </c>
      <c r="C680" s="1" t="s">
        <v>1314</v>
      </c>
      <c r="D680" s="1" t="s">
        <v>1361</v>
      </c>
      <c r="E680" s="1" t="s">
        <v>1362</v>
      </c>
      <c r="F680" s="1" t="s">
        <v>1363</v>
      </c>
      <c r="G680" s="2">
        <v>0</v>
      </c>
      <c r="H680" s="3">
        <f t="shared" ref="H680:I680" si="228">0+0+100%</f>
        <v>1</v>
      </c>
      <c r="I680" s="3">
        <f t="shared" si="228"/>
        <v>1</v>
      </c>
      <c r="J680" s="1" t="s">
        <v>1364</v>
      </c>
    </row>
    <row r="681" spans="1:10" ht="24">
      <c r="A681" s="1">
        <v>2023</v>
      </c>
      <c r="B681" s="1" t="s">
        <v>9</v>
      </c>
      <c r="C681" s="1" t="s">
        <v>1314</v>
      </c>
      <c r="D681" s="1" t="s">
        <v>1361</v>
      </c>
      <c r="E681" s="1" t="s">
        <v>1365</v>
      </c>
      <c r="F681" s="1" t="s">
        <v>1366</v>
      </c>
      <c r="G681" s="2">
        <v>0</v>
      </c>
      <c r="H681" s="3">
        <f t="shared" ref="H681:I681" si="229">0+0+100%</f>
        <v>1</v>
      </c>
      <c r="I681" s="3">
        <f t="shared" si="229"/>
        <v>1</v>
      </c>
      <c r="J681" s="1" t="s">
        <v>1364</v>
      </c>
    </row>
    <row r="682" spans="1:10" ht="36">
      <c r="A682" s="1">
        <v>2023</v>
      </c>
      <c r="B682" s="1" t="s">
        <v>9</v>
      </c>
      <c r="C682" s="1" t="s">
        <v>1314</v>
      </c>
      <c r="D682" s="1" t="s">
        <v>1361</v>
      </c>
      <c r="E682" s="1" t="s">
        <v>1367</v>
      </c>
      <c r="F682" s="1" t="s">
        <v>1368</v>
      </c>
      <c r="G682" s="11">
        <v>365</v>
      </c>
      <c r="H682" s="11">
        <f t="shared" ref="H682:I682" si="230">31+30+31</f>
        <v>92</v>
      </c>
      <c r="I682" s="11">
        <f t="shared" si="230"/>
        <v>92</v>
      </c>
      <c r="J682" s="1" t="s">
        <v>1364</v>
      </c>
    </row>
    <row r="683" spans="1:10" ht="48">
      <c r="A683" s="1">
        <v>2023</v>
      </c>
      <c r="B683" s="1" t="s">
        <v>9</v>
      </c>
      <c r="C683" s="1" t="s">
        <v>1314</v>
      </c>
      <c r="D683" s="1" t="s">
        <v>1361</v>
      </c>
      <c r="E683" s="1" t="s">
        <v>1369</v>
      </c>
      <c r="F683" s="1" t="s">
        <v>1368</v>
      </c>
      <c r="G683" s="11">
        <v>365</v>
      </c>
      <c r="H683" s="11">
        <f t="shared" ref="H683:I683" si="231">31+30+31</f>
        <v>92</v>
      </c>
      <c r="I683" s="11">
        <f t="shared" si="231"/>
        <v>92</v>
      </c>
      <c r="J683" s="1" t="s">
        <v>1364</v>
      </c>
    </row>
    <row r="684" spans="1:10" ht="36">
      <c r="A684" s="1">
        <v>2023</v>
      </c>
      <c r="B684" s="1" t="s">
        <v>9</v>
      </c>
      <c r="C684" s="1" t="s">
        <v>1314</v>
      </c>
      <c r="D684" s="1" t="s">
        <v>1361</v>
      </c>
      <c r="E684" s="1" t="s">
        <v>1370</v>
      </c>
      <c r="F684" s="1" t="s">
        <v>1370</v>
      </c>
      <c r="G684" s="11">
        <v>365</v>
      </c>
      <c r="H684" s="11">
        <f t="shared" ref="H684:I684" si="232">31+30+31</f>
        <v>92</v>
      </c>
      <c r="I684" s="11">
        <f t="shared" si="232"/>
        <v>92</v>
      </c>
      <c r="J684" s="1" t="s">
        <v>1364</v>
      </c>
    </row>
    <row r="685" spans="1:10" ht="24">
      <c r="A685" s="1">
        <v>2023</v>
      </c>
      <c r="B685" s="1" t="s">
        <v>9</v>
      </c>
      <c r="C685" s="1" t="s">
        <v>1314</v>
      </c>
      <c r="D685" s="1" t="s">
        <v>1361</v>
      </c>
      <c r="E685" s="1" t="s">
        <v>1371</v>
      </c>
      <c r="F685" s="1" t="s">
        <v>1372</v>
      </c>
      <c r="G685" s="11">
        <v>365</v>
      </c>
      <c r="H685" s="11">
        <f t="shared" ref="H685:I685" si="233">31+30+31</f>
        <v>92</v>
      </c>
      <c r="I685" s="11">
        <f t="shared" si="233"/>
        <v>92</v>
      </c>
      <c r="J685" s="1" t="s">
        <v>1364</v>
      </c>
    </row>
    <row r="686" spans="1:10" ht="36">
      <c r="A686" s="1">
        <v>2023</v>
      </c>
      <c r="B686" s="1" t="s">
        <v>9</v>
      </c>
      <c r="C686" s="1" t="s">
        <v>1314</v>
      </c>
      <c r="D686" s="1" t="s">
        <v>1361</v>
      </c>
      <c r="E686" s="1" t="s">
        <v>1373</v>
      </c>
      <c r="F686" s="1" t="s">
        <v>1374</v>
      </c>
      <c r="G686" s="11">
        <v>365</v>
      </c>
      <c r="H686" s="11">
        <f t="shared" ref="H686:I686" si="234">31+30+31</f>
        <v>92</v>
      </c>
      <c r="I686" s="11">
        <f t="shared" si="234"/>
        <v>92</v>
      </c>
      <c r="J686" s="1" t="s">
        <v>1364</v>
      </c>
    </row>
    <row r="687" spans="1:10" ht="24">
      <c r="A687" s="1">
        <v>2023</v>
      </c>
      <c r="B687" s="1" t="s">
        <v>9</v>
      </c>
      <c r="C687" s="1" t="s">
        <v>1314</v>
      </c>
      <c r="D687" s="1" t="s">
        <v>1361</v>
      </c>
      <c r="E687" s="1" t="s">
        <v>1375</v>
      </c>
      <c r="F687" s="1" t="s">
        <v>1376</v>
      </c>
      <c r="G687" s="11">
        <v>365</v>
      </c>
      <c r="H687" s="11">
        <f t="shared" ref="H687:I687" si="235">31+30+31</f>
        <v>92</v>
      </c>
      <c r="I687" s="11">
        <f t="shared" si="235"/>
        <v>92</v>
      </c>
      <c r="J687" s="1" t="s">
        <v>1364</v>
      </c>
    </row>
    <row r="688" spans="1:10" ht="36">
      <c r="A688" s="1">
        <v>2023</v>
      </c>
      <c r="B688" s="1" t="s">
        <v>9</v>
      </c>
      <c r="C688" s="1" t="s">
        <v>1314</v>
      </c>
      <c r="D688" s="1" t="s">
        <v>1361</v>
      </c>
      <c r="E688" s="1" t="s">
        <v>1377</v>
      </c>
      <c r="F688" s="1" t="s">
        <v>1378</v>
      </c>
      <c r="G688" s="11">
        <v>183</v>
      </c>
      <c r="H688" s="11">
        <f t="shared" ref="H688:I688" si="236">31+30+31</f>
        <v>92</v>
      </c>
      <c r="I688" s="11">
        <f t="shared" si="236"/>
        <v>92</v>
      </c>
      <c r="J688" s="1" t="s">
        <v>1364</v>
      </c>
    </row>
    <row r="689" spans="1:10" ht="36">
      <c r="A689" s="1">
        <v>2023</v>
      </c>
      <c r="B689" s="1" t="s">
        <v>9</v>
      </c>
      <c r="C689" s="1" t="s">
        <v>1314</v>
      </c>
      <c r="D689" s="1" t="s">
        <v>1361</v>
      </c>
      <c r="E689" s="1" t="s">
        <v>1379</v>
      </c>
      <c r="F689" s="1" t="s">
        <v>1380</v>
      </c>
      <c r="G689" s="11">
        <v>183</v>
      </c>
      <c r="H689" s="11">
        <f t="shared" ref="H689:I689" si="237">25+25+25</f>
        <v>75</v>
      </c>
      <c r="I689" s="11">
        <f t="shared" si="237"/>
        <v>75</v>
      </c>
      <c r="J689" s="1" t="s">
        <v>1364</v>
      </c>
    </row>
    <row r="690" spans="1:10" ht="48">
      <c r="A690" s="1">
        <v>2023</v>
      </c>
      <c r="B690" s="1" t="s">
        <v>9</v>
      </c>
      <c r="C690" s="1" t="s">
        <v>1314</v>
      </c>
      <c r="D690" s="1" t="s">
        <v>1361</v>
      </c>
      <c r="E690" s="1" t="s">
        <v>1381</v>
      </c>
      <c r="F690" s="1" t="s">
        <v>1382</v>
      </c>
      <c r="G690" s="11">
        <v>183</v>
      </c>
      <c r="H690" s="11">
        <f t="shared" ref="H690:I690" si="238">100+100+100</f>
        <v>300</v>
      </c>
      <c r="I690" s="11">
        <f t="shared" si="238"/>
        <v>300</v>
      </c>
      <c r="J690" s="1" t="s">
        <v>1364</v>
      </c>
    </row>
    <row r="691" spans="1:10" ht="24">
      <c r="A691" s="1">
        <v>2023</v>
      </c>
      <c r="B691" s="1" t="s">
        <v>9</v>
      </c>
      <c r="C691" s="1" t="s">
        <v>1314</v>
      </c>
      <c r="D691" s="1" t="s">
        <v>1361</v>
      </c>
      <c r="E691" s="1" t="s">
        <v>1383</v>
      </c>
      <c r="F691" s="1" t="s">
        <v>1384</v>
      </c>
      <c r="G691" s="11">
        <v>183</v>
      </c>
      <c r="H691" s="11">
        <f t="shared" ref="H691:I691" si="239">90+90+90</f>
        <v>270</v>
      </c>
      <c r="I691" s="11">
        <f t="shared" si="239"/>
        <v>270</v>
      </c>
      <c r="J691" s="1" t="s">
        <v>1364</v>
      </c>
    </row>
    <row r="692" spans="1:10" ht="36">
      <c r="A692" s="1">
        <v>2023</v>
      </c>
      <c r="B692" s="1" t="s">
        <v>9</v>
      </c>
      <c r="C692" s="1" t="s">
        <v>1314</v>
      </c>
      <c r="D692" s="1" t="s">
        <v>1385</v>
      </c>
      <c r="E692" s="1" t="s">
        <v>1386</v>
      </c>
      <c r="F692" s="1" t="s">
        <v>1363</v>
      </c>
      <c r="G692" s="2">
        <v>0</v>
      </c>
      <c r="H692" s="3">
        <f t="shared" ref="H692:I692" si="240">0+0+100%</f>
        <v>1</v>
      </c>
      <c r="I692" s="3">
        <f t="shared" si="240"/>
        <v>1</v>
      </c>
      <c r="J692" s="1" t="s">
        <v>1364</v>
      </c>
    </row>
    <row r="693" spans="1:10" ht="24">
      <c r="A693" s="1">
        <v>2023</v>
      </c>
      <c r="B693" s="1" t="s">
        <v>9</v>
      </c>
      <c r="C693" s="1" t="s">
        <v>1314</v>
      </c>
      <c r="D693" s="1" t="s">
        <v>1385</v>
      </c>
      <c r="E693" s="1" t="s">
        <v>1387</v>
      </c>
      <c r="F693" s="1" t="s">
        <v>1388</v>
      </c>
      <c r="G693" s="2">
        <v>0</v>
      </c>
      <c r="H693" s="3">
        <f t="shared" ref="H693:I693" si="241">0+0+100%</f>
        <v>1</v>
      </c>
      <c r="I693" s="3">
        <f t="shared" si="241"/>
        <v>1</v>
      </c>
      <c r="J693" s="1" t="s">
        <v>1364</v>
      </c>
    </row>
    <row r="694" spans="1:10" ht="36">
      <c r="A694" s="1">
        <v>2023</v>
      </c>
      <c r="B694" s="1" t="s">
        <v>9</v>
      </c>
      <c r="C694" s="1" t="s">
        <v>1314</v>
      </c>
      <c r="D694" s="1" t="s">
        <v>1385</v>
      </c>
      <c r="E694" s="1" t="s">
        <v>1389</v>
      </c>
      <c r="F694" s="1" t="s">
        <v>1390</v>
      </c>
      <c r="G694" s="11">
        <v>365</v>
      </c>
      <c r="H694" s="11">
        <f t="shared" ref="H694:I694" si="242">31+30+31</f>
        <v>92</v>
      </c>
      <c r="I694" s="11">
        <f t="shared" si="242"/>
        <v>92</v>
      </c>
      <c r="J694" s="1" t="s">
        <v>1364</v>
      </c>
    </row>
    <row r="695" spans="1:10" ht="36">
      <c r="A695" s="1">
        <v>2023</v>
      </c>
      <c r="B695" s="1" t="s">
        <v>9</v>
      </c>
      <c r="C695" s="1" t="s">
        <v>1314</v>
      </c>
      <c r="D695" s="1" t="s">
        <v>1385</v>
      </c>
      <c r="E695" s="1" t="s">
        <v>1391</v>
      </c>
      <c r="F695" s="1" t="s">
        <v>1390</v>
      </c>
      <c r="G695" s="11">
        <v>365</v>
      </c>
      <c r="H695" s="11">
        <f t="shared" ref="H695:I695" si="243">31+30+31</f>
        <v>92</v>
      </c>
      <c r="I695" s="11">
        <f t="shared" si="243"/>
        <v>92</v>
      </c>
      <c r="J695" s="1" t="s">
        <v>1364</v>
      </c>
    </row>
    <row r="696" spans="1:10" ht="24">
      <c r="A696" s="1">
        <v>2023</v>
      </c>
      <c r="B696" s="1" t="s">
        <v>9</v>
      </c>
      <c r="C696" s="1" t="s">
        <v>1314</v>
      </c>
      <c r="D696" s="1" t="s">
        <v>1385</v>
      </c>
      <c r="E696" s="1" t="s">
        <v>1390</v>
      </c>
      <c r="F696" s="1" t="s">
        <v>1125</v>
      </c>
      <c r="G696" s="11">
        <v>365</v>
      </c>
      <c r="H696" s="11">
        <f t="shared" ref="H696:I696" si="244">31+30+31</f>
        <v>92</v>
      </c>
      <c r="I696" s="11">
        <f t="shared" si="244"/>
        <v>92</v>
      </c>
      <c r="J696" s="1" t="s">
        <v>1364</v>
      </c>
    </row>
    <row r="697" spans="1:10" ht="24">
      <c r="A697" s="1">
        <v>2023</v>
      </c>
      <c r="B697" s="1" t="s">
        <v>9</v>
      </c>
      <c r="C697" s="1" t="s">
        <v>1314</v>
      </c>
      <c r="D697" s="1" t="s">
        <v>1385</v>
      </c>
      <c r="E697" s="1" t="s">
        <v>1390</v>
      </c>
      <c r="F697" s="1" t="s">
        <v>1125</v>
      </c>
      <c r="G697" s="11">
        <v>365</v>
      </c>
      <c r="H697" s="11">
        <f t="shared" ref="H697:I697" si="245">31+30+31</f>
        <v>92</v>
      </c>
      <c r="I697" s="11">
        <f t="shared" si="245"/>
        <v>92</v>
      </c>
      <c r="J697" s="1" t="s">
        <v>1364</v>
      </c>
    </row>
    <row r="698" spans="1:10" ht="24">
      <c r="A698" s="1">
        <v>2023</v>
      </c>
      <c r="B698" s="1" t="s">
        <v>9</v>
      </c>
      <c r="C698" s="1" t="s">
        <v>1314</v>
      </c>
      <c r="D698" s="1" t="s">
        <v>1392</v>
      </c>
      <c r="E698" s="1" t="s">
        <v>1393</v>
      </c>
      <c r="F698" s="1" t="s">
        <v>1394</v>
      </c>
      <c r="G698" s="2">
        <v>0</v>
      </c>
      <c r="H698" s="3">
        <f t="shared" ref="H698:I698" si="246">0+0+100%</f>
        <v>1</v>
      </c>
      <c r="I698" s="3">
        <f t="shared" si="246"/>
        <v>1</v>
      </c>
      <c r="J698" s="1" t="s">
        <v>1395</v>
      </c>
    </row>
    <row r="699" spans="1:10" ht="24">
      <c r="A699" s="1">
        <v>2023</v>
      </c>
      <c r="B699" s="1" t="s">
        <v>9</v>
      </c>
      <c r="C699" s="1" t="s">
        <v>1314</v>
      </c>
      <c r="D699" s="1" t="s">
        <v>1392</v>
      </c>
      <c r="E699" s="1" t="s">
        <v>1396</v>
      </c>
      <c r="F699" s="1" t="s">
        <v>1397</v>
      </c>
      <c r="G699" s="2">
        <v>0</v>
      </c>
      <c r="H699" s="3">
        <f t="shared" ref="H699:I699" si="247">0+0+100%</f>
        <v>1</v>
      </c>
      <c r="I699" s="3">
        <f t="shared" si="247"/>
        <v>1</v>
      </c>
      <c r="J699" s="1" t="s">
        <v>1395</v>
      </c>
    </row>
    <row r="700" spans="1:10" ht="24">
      <c r="A700" s="1">
        <v>2023</v>
      </c>
      <c r="B700" s="1" t="s">
        <v>9</v>
      </c>
      <c r="C700" s="1" t="s">
        <v>1314</v>
      </c>
      <c r="D700" s="1" t="s">
        <v>1392</v>
      </c>
      <c r="E700" s="1" t="s">
        <v>1398</v>
      </c>
      <c r="F700" s="1" t="s">
        <v>1399</v>
      </c>
      <c r="G700" s="11">
        <v>518</v>
      </c>
      <c r="H700" s="11">
        <f t="shared" ref="H700:H706" si="248">0+0+0</f>
        <v>0</v>
      </c>
      <c r="I700" s="11">
        <f>500+0+0</f>
        <v>500</v>
      </c>
      <c r="J700" s="1" t="s">
        <v>1395</v>
      </c>
    </row>
    <row r="701" spans="1:10" ht="24">
      <c r="A701" s="1">
        <v>2023</v>
      </c>
      <c r="B701" s="1" t="s">
        <v>9</v>
      </c>
      <c r="C701" s="1" t="s">
        <v>1314</v>
      </c>
      <c r="D701" s="1" t="s">
        <v>1392</v>
      </c>
      <c r="E701" s="1" t="s">
        <v>1400</v>
      </c>
      <c r="F701" s="1" t="s">
        <v>1401</v>
      </c>
      <c r="G701" s="11">
        <v>462</v>
      </c>
      <c r="H701" s="11">
        <f t="shared" si="248"/>
        <v>0</v>
      </c>
      <c r="I701" s="11">
        <f>0+58+210</f>
        <v>268</v>
      </c>
      <c r="J701" s="1" t="s">
        <v>1395</v>
      </c>
    </row>
    <row r="702" spans="1:10" ht="24">
      <c r="A702" s="1">
        <v>2023</v>
      </c>
      <c r="B702" s="1" t="s">
        <v>9</v>
      </c>
      <c r="C702" s="1" t="s">
        <v>1314</v>
      </c>
      <c r="D702" s="1" t="s">
        <v>1392</v>
      </c>
      <c r="E702" s="1" t="s">
        <v>1402</v>
      </c>
      <c r="F702" s="1" t="s">
        <v>1403</v>
      </c>
      <c r="G702" s="11">
        <v>259</v>
      </c>
      <c r="H702" s="11">
        <f t="shared" si="248"/>
        <v>0</v>
      </c>
      <c r="I702" s="11">
        <f t="shared" ref="I702:I703" si="249">500+0+0</f>
        <v>500</v>
      </c>
      <c r="J702" s="1" t="s">
        <v>1395</v>
      </c>
    </row>
    <row r="703" spans="1:10" ht="24">
      <c r="A703" s="1">
        <v>2023</v>
      </c>
      <c r="B703" s="1" t="s">
        <v>9</v>
      </c>
      <c r="C703" s="1" t="s">
        <v>1314</v>
      </c>
      <c r="D703" s="1" t="s">
        <v>1392</v>
      </c>
      <c r="E703" s="1" t="s">
        <v>1404</v>
      </c>
      <c r="F703" s="1" t="s">
        <v>1405</v>
      </c>
      <c r="G703" s="11">
        <v>259</v>
      </c>
      <c r="H703" s="11">
        <f t="shared" si="248"/>
        <v>0</v>
      </c>
      <c r="I703" s="11">
        <f t="shared" si="249"/>
        <v>500</v>
      </c>
      <c r="J703" s="1" t="s">
        <v>1395</v>
      </c>
    </row>
    <row r="704" spans="1:10" ht="24">
      <c r="A704" s="1">
        <v>2023</v>
      </c>
      <c r="B704" s="1" t="s">
        <v>9</v>
      </c>
      <c r="C704" s="1" t="s">
        <v>1314</v>
      </c>
      <c r="D704" s="1" t="s">
        <v>1392</v>
      </c>
      <c r="E704" s="1" t="s">
        <v>1406</v>
      </c>
      <c r="F704" s="1" t="s">
        <v>1407</v>
      </c>
      <c r="G704" s="11">
        <v>173</v>
      </c>
      <c r="H704" s="11">
        <f t="shared" si="248"/>
        <v>0</v>
      </c>
      <c r="I704" s="11">
        <f t="shared" ref="I704:I705" si="250">0+0+105</f>
        <v>105</v>
      </c>
      <c r="J704" s="1" t="s">
        <v>1395</v>
      </c>
    </row>
    <row r="705" spans="1:10" ht="24">
      <c r="A705" s="1">
        <v>2023</v>
      </c>
      <c r="B705" s="1" t="s">
        <v>9</v>
      </c>
      <c r="C705" s="1" t="s">
        <v>1314</v>
      </c>
      <c r="D705" s="1" t="s">
        <v>1392</v>
      </c>
      <c r="E705" s="1" t="s">
        <v>1408</v>
      </c>
      <c r="F705" s="1" t="s">
        <v>1409</v>
      </c>
      <c r="G705" s="11">
        <v>173</v>
      </c>
      <c r="H705" s="11">
        <f t="shared" si="248"/>
        <v>0</v>
      </c>
      <c r="I705" s="11">
        <f t="shared" si="250"/>
        <v>105</v>
      </c>
      <c r="J705" s="1" t="s">
        <v>1395</v>
      </c>
    </row>
    <row r="706" spans="1:10" ht="24">
      <c r="A706" s="1">
        <v>2023</v>
      </c>
      <c r="B706" s="1" t="s">
        <v>9</v>
      </c>
      <c r="C706" s="1" t="s">
        <v>1314</v>
      </c>
      <c r="D706" s="1" t="s">
        <v>1392</v>
      </c>
      <c r="E706" s="1" t="s">
        <v>1410</v>
      </c>
      <c r="F706" s="1" t="s">
        <v>1411</v>
      </c>
      <c r="G706" s="11">
        <v>173</v>
      </c>
      <c r="H706" s="11">
        <f t="shared" si="248"/>
        <v>0</v>
      </c>
      <c r="I706" s="11">
        <f>0+58+0</f>
        <v>58</v>
      </c>
      <c r="J706" s="1" t="s">
        <v>1395</v>
      </c>
    </row>
    <row r="707" spans="1:10" ht="36">
      <c r="A707" s="1">
        <v>2023</v>
      </c>
      <c r="B707" s="1" t="s">
        <v>9</v>
      </c>
      <c r="C707" s="1" t="s">
        <v>1314</v>
      </c>
      <c r="D707" s="1" t="s">
        <v>1412</v>
      </c>
      <c r="E707" s="1" t="s">
        <v>1413</v>
      </c>
      <c r="F707" s="1" t="s">
        <v>1414</v>
      </c>
      <c r="G707" s="2">
        <v>0</v>
      </c>
      <c r="H707" s="3">
        <f t="shared" ref="H707:H708" si="251">0+0+100%</f>
        <v>1</v>
      </c>
      <c r="I707" s="3">
        <f t="shared" ref="I707:I708" si="252">0+0+97%</f>
        <v>0.97</v>
      </c>
      <c r="J707" s="1" t="s">
        <v>1415</v>
      </c>
    </row>
    <row r="708" spans="1:10" ht="36">
      <c r="A708" s="1">
        <v>2023</v>
      </c>
      <c r="B708" s="1" t="s">
        <v>9</v>
      </c>
      <c r="C708" s="1" t="s">
        <v>1314</v>
      </c>
      <c r="D708" s="1" t="s">
        <v>1412</v>
      </c>
      <c r="E708" s="1" t="s">
        <v>1416</v>
      </c>
      <c r="F708" s="1" t="s">
        <v>328</v>
      </c>
      <c r="G708" s="2">
        <v>0</v>
      </c>
      <c r="H708" s="3">
        <f t="shared" si="251"/>
        <v>1</v>
      </c>
      <c r="I708" s="3">
        <f t="shared" si="252"/>
        <v>0.97</v>
      </c>
      <c r="J708" s="1" t="s">
        <v>1415</v>
      </c>
    </row>
    <row r="709" spans="1:10" ht="60">
      <c r="A709" s="1">
        <v>2023</v>
      </c>
      <c r="B709" s="1" t="s">
        <v>9</v>
      </c>
      <c r="C709" s="1" t="s">
        <v>1314</v>
      </c>
      <c r="D709" s="1" t="s">
        <v>1412</v>
      </c>
      <c r="E709" s="1" t="s">
        <v>1417</v>
      </c>
      <c r="F709" s="1" t="s">
        <v>1418</v>
      </c>
      <c r="G709" s="11">
        <v>7562</v>
      </c>
      <c r="H709" s="11">
        <f>315+315+315</f>
        <v>945</v>
      </c>
      <c r="I709" s="11">
        <f>118+209+43</f>
        <v>370</v>
      </c>
      <c r="J709" s="1" t="s">
        <v>1415</v>
      </c>
    </row>
    <row r="710" spans="1:10" ht="48">
      <c r="A710" s="1">
        <v>2023</v>
      </c>
      <c r="B710" s="1" t="s">
        <v>9</v>
      </c>
      <c r="C710" s="1" t="s">
        <v>1314</v>
      </c>
      <c r="D710" s="1" t="s">
        <v>1412</v>
      </c>
      <c r="E710" s="1" t="s">
        <v>1419</v>
      </c>
      <c r="F710" s="1" t="s">
        <v>1125</v>
      </c>
      <c r="G710" s="11">
        <v>168</v>
      </c>
      <c r="H710" s="11">
        <f>19+19+20</f>
        <v>58</v>
      </c>
      <c r="I710" s="11">
        <f>25+12+12</f>
        <v>49</v>
      </c>
      <c r="J710" s="1" t="s">
        <v>1415</v>
      </c>
    </row>
    <row r="711" spans="1:10" ht="36">
      <c r="A711" s="1">
        <v>2023</v>
      </c>
      <c r="B711" s="1" t="s">
        <v>9</v>
      </c>
      <c r="C711" s="1" t="s">
        <v>1314</v>
      </c>
      <c r="D711" s="1" t="s">
        <v>1412</v>
      </c>
      <c r="E711" s="1" t="s">
        <v>1420</v>
      </c>
      <c r="F711" s="1" t="s">
        <v>1421</v>
      </c>
      <c r="G711" s="11">
        <v>26</v>
      </c>
      <c r="H711" s="11">
        <f t="shared" ref="H711:H712" si="253">0+0+0</f>
        <v>0</v>
      </c>
      <c r="I711" s="11">
        <f>3+2+1</f>
        <v>6</v>
      </c>
      <c r="J711" s="1" t="s">
        <v>1415</v>
      </c>
    </row>
    <row r="712" spans="1:10" ht="36">
      <c r="A712" s="1">
        <v>2023</v>
      </c>
      <c r="B712" s="1" t="s">
        <v>9</v>
      </c>
      <c r="C712" s="1" t="s">
        <v>1314</v>
      </c>
      <c r="D712" s="1" t="s">
        <v>1412</v>
      </c>
      <c r="E712" s="1" t="s">
        <v>1422</v>
      </c>
      <c r="F712" s="1" t="s">
        <v>1423</v>
      </c>
      <c r="G712" s="11">
        <v>101</v>
      </c>
      <c r="H712" s="11">
        <f t="shared" si="253"/>
        <v>0</v>
      </c>
      <c r="I712" s="11">
        <f>3+3+1</f>
        <v>7</v>
      </c>
      <c r="J712" s="1" t="s">
        <v>1415</v>
      </c>
    </row>
    <row r="713" spans="1:10" ht="48">
      <c r="A713" s="1">
        <v>2023</v>
      </c>
      <c r="B713" s="1" t="s">
        <v>9</v>
      </c>
      <c r="C713" s="1" t="s">
        <v>1314</v>
      </c>
      <c r="D713" s="1" t="s">
        <v>1412</v>
      </c>
      <c r="E713" s="1" t="s">
        <v>1424</v>
      </c>
      <c r="F713" s="1" t="s">
        <v>266</v>
      </c>
      <c r="G713" s="11">
        <v>225</v>
      </c>
      <c r="H713" s="11">
        <f>95+95+96</f>
        <v>286</v>
      </c>
      <c r="I713" s="11">
        <f>33+30+13</f>
        <v>76</v>
      </c>
      <c r="J713" s="1" t="s">
        <v>1415</v>
      </c>
    </row>
    <row r="714" spans="1:10" ht="36">
      <c r="A714" s="1">
        <v>2023</v>
      </c>
      <c r="B714" s="1" t="s">
        <v>9</v>
      </c>
      <c r="C714" s="1" t="s">
        <v>1314</v>
      </c>
      <c r="D714" s="1" t="s">
        <v>1412</v>
      </c>
      <c r="E714" s="1" t="s">
        <v>1425</v>
      </c>
      <c r="F714" s="1" t="s">
        <v>1426</v>
      </c>
      <c r="G714" s="11">
        <v>7562</v>
      </c>
      <c r="H714" s="11">
        <f>197+197+197</f>
        <v>591</v>
      </c>
      <c r="I714" s="11">
        <f>5+8+3</f>
        <v>16</v>
      </c>
      <c r="J714" s="1" t="s">
        <v>1415</v>
      </c>
    </row>
    <row r="715" spans="1:10" ht="36">
      <c r="A715" s="1">
        <v>2023</v>
      </c>
      <c r="B715" s="1" t="s">
        <v>9</v>
      </c>
      <c r="C715" s="1" t="s">
        <v>1314</v>
      </c>
      <c r="D715" s="1" t="s">
        <v>1412</v>
      </c>
      <c r="E715" s="1" t="s">
        <v>1427</v>
      </c>
      <c r="F715" s="1" t="s">
        <v>1428</v>
      </c>
      <c r="G715" s="11">
        <v>56</v>
      </c>
      <c r="H715" s="11">
        <f>10+10+10</f>
        <v>30</v>
      </c>
      <c r="I715" s="11">
        <f>25+12+12</f>
        <v>49</v>
      </c>
      <c r="J715" s="1" t="s">
        <v>1415</v>
      </c>
    </row>
    <row r="716" spans="1:10" ht="36">
      <c r="A716" s="1">
        <v>2023</v>
      </c>
      <c r="B716" s="1" t="s">
        <v>9</v>
      </c>
      <c r="C716" s="1" t="s">
        <v>1314</v>
      </c>
      <c r="D716" s="1" t="s">
        <v>1412</v>
      </c>
      <c r="E716" s="1" t="s">
        <v>1429</v>
      </c>
      <c r="F716" s="1" t="s">
        <v>1430</v>
      </c>
      <c r="G716" s="11">
        <v>56</v>
      </c>
      <c r="H716" s="11">
        <f>205+205+204</f>
        <v>614</v>
      </c>
      <c r="I716" s="11">
        <f>794+331+372</f>
        <v>1497</v>
      </c>
      <c r="J716" s="1" t="s">
        <v>1415</v>
      </c>
    </row>
    <row r="717" spans="1:10" ht="36">
      <c r="A717" s="1">
        <v>2023</v>
      </c>
      <c r="B717" s="1" t="s">
        <v>9</v>
      </c>
      <c r="C717" s="1" t="s">
        <v>1314</v>
      </c>
      <c r="D717" s="1" t="s">
        <v>1412</v>
      </c>
      <c r="E717" s="1" t="s">
        <v>1431</v>
      </c>
      <c r="F717" s="1" t="s">
        <v>1432</v>
      </c>
      <c r="G717" s="11">
        <v>56</v>
      </c>
      <c r="H717" s="11">
        <f>115+115+115</f>
        <v>345</v>
      </c>
      <c r="I717" s="11">
        <f>261+130+111</f>
        <v>502</v>
      </c>
      <c r="J717" s="1" t="s">
        <v>1415</v>
      </c>
    </row>
    <row r="718" spans="1:10" ht="36">
      <c r="A718" s="1">
        <v>2023</v>
      </c>
      <c r="B718" s="1" t="s">
        <v>9</v>
      </c>
      <c r="C718" s="1" t="s">
        <v>1314</v>
      </c>
      <c r="D718" s="1" t="s">
        <v>1412</v>
      </c>
      <c r="E718" s="1" t="s">
        <v>1433</v>
      </c>
      <c r="F718" s="1" t="s">
        <v>1434</v>
      </c>
      <c r="G718" s="11">
        <v>13</v>
      </c>
      <c r="H718" s="11">
        <f>5+5+0</f>
        <v>10</v>
      </c>
      <c r="I718" s="11">
        <f>3+2+1</f>
        <v>6</v>
      </c>
      <c r="J718" s="1" t="s">
        <v>1415</v>
      </c>
    </row>
    <row r="719" spans="1:10" ht="36">
      <c r="A719" s="1">
        <v>2023</v>
      </c>
      <c r="B719" s="1" t="s">
        <v>9</v>
      </c>
      <c r="C719" s="1" t="s">
        <v>1314</v>
      </c>
      <c r="D719" s="1" t="s">
        <v>1412</v>
      </c>
      <c r="E719" s="1" t="s">
        <v>1435</v>
      </c>
      <c r="F719" s="1" t="s">
        <v>1421</v>
      </c>
      <c r="G719" s="11">
        <v>13</v>
      </c>
      <c r="H719" s="11">
        <f>44+44+44</f>
        <v>132</v>
      </c>
      <c r="I719" s="11">
        <f>15+38+32</f>
        <v>85</v>
      </c>
      <c r="J719" s="1" t="s">
        <v>1415</v>
      </c>
    </row>
    <row r="720" spans="1:10" ht="36">
      <c r="A720" s="1">
        <v>2023</v>
      </c>
      <c r="B720" s="1" t="s">
        <v>9</v>
      </c>
      <c r="C720" s="1" t="s">
        <v>1314</v>
      </c>
      <c r="D720" s="1" t="s">
        <v>1412</v>
      </c>
      <c r="E720" s="1" t="s">
        <v>1436</v>
      </c>
      <c r="F720" s="1" t="s">
        <v>1437</v>
      </c>
      <c r="G720" s="11">
        <v>101</v>
      </c>
      <c r="H720" s="11">
        <f>0+0+0</f>
        <v>0</v>
      </c>
      <c r="I720" s="11">
        <f>3+3+1</f>
        <v>7</v>
      </c>
      <c r="J720" s="1" t="s">
        <v>1415</v>
      </c>
    </row>
    <row r="721" spans="1:10" ht="36">
      <c r="A721" s="1">
        <v>2023</v>
      </c>
      <c r="B721" s="1" t="s">
        <v>9</v>
      </c>
      <c r="C721" s="1" t="s">
        <v>1314</v>
      </c>
      <c r="D721" s="1" t="s">
        <v>1412</v>
      </c>
      <c r="E721" s="1" t="s">
        <v>1438</v>
      </c>
      <c r="F721" s="1" t="s">
        <v>1439</v>
      </c>
      <c r="G721" s="11">
        <v>225</v>
      </c>
      <c r="H721" s="11">
        <f>96+95+95</f>
        <v>286</v>
      </c>
      <c r="I721" s="11">
        <f>33+30+13</f>
        <v>76</v>
      </c>
      <c r="J721" s="1" t="s">
        <v>1415</v>
      </c>
    </row>
    <row r="722" spans="1:10" ht="48">
      <c r="A722" s="1">
        <v>2023</v>
      </c>
      <c r="B722" s="1" t="s">
        <v>9</v>
      </c>
      <c r="C722" s="1" t="s">
        <v>1314</v>
      </c>
      <c r="D722" s="1" t="s">
        <v>1440</v>
      </c>
      <c r="E722" s="1" t="s">
        <v>1441</v>
      </c>
      <c r="F722" s="1" t="s">
        <v>1442</v>
      </c>
      <c r="G722" s="2">
        <v>0</v>
      </c>
      <c r="H722" s="3">
        <f t="shared" ref="H722:I722" si="254">0+0+100%</f>
        <v>1</v>
      </c>
      <c r="I722" s="3">
        <f t="shared" si="254"/>
        <v>1</v>
      </c>
      <c r="J722" s="1" t="s">
        <v>1443</v>
      </c>
    </row>
    <row r="723" spans="1:10" ht="48">
      <c r="A723" s="1">
        <v>2023</v>
      </c>
      <c r="B723" s="1" t="s">
        <v>9</v>
      </c>
      <c r="C723" s="1" t="s">
        <v>1314</v>
      </c>
      <c r="D723" s="1" t="s">
        <v>1440</v>
      </c>
      <c r="E723" s="1" t="s">
        <v>1444</v>
      </c>
      <c r="F723" s="1" t="s">
        <v>1445</v>
      </c>
      <c r="G723" s="2">
        <v>0</v>
      </c>
      <c r="H723" s="3">
        <f t="shared" ref="H723:I723" si="255">0+0+100%</f>
        <v>1</v>
      </c>
      <c r="I723" s="3">
        <f t="shared" si="255"/>
        <v>1</v>
      </c>
      <c r="J723" s="1" t="s">
        <v>1443</v>
      </c>
    </row>
    <row r="724" spans="1:10" ht="48">
      <c r="A724" s="1">
        <v>2023</v>
      </c>
      <c r="B724" s="1" t="s">
        <v>9</v>
      </c>
      <c r="C724" s="1" t="s">
        <v>1314</v>
      </c>
      <c r="D724" s="1" t="s">
        <v>1440</v>
      </c>
      <c r="E724" s="1" t="s">
        <v>1446</v>
      </c>
      <c r="F724" s="1" t="s">
        <v>1447</v>
      </c>
      <c r="G724" s="11">
        <v>13919</v>
      </c>
      <c r="H724" s="11">
        <f>864+863+864</f>
        <v>2591</v>
      </c>
      <c r="I724" s="11">
        <f>1238+1172+1099</f>
        <v>3509</v>
      </c>
      <c r="J724" s="1" t="s">
        <v>1443</v>
      </c>
    </row>
    <row r="725" spans="1:10" ht="48">
      <c r="A725" s="1">
        <v>2023</v>
      </c>
      <c r="B725" s="1" t="s">
        <v>9</v>
      </c>
      <c r="C725" s="1" t="s">
        <v>1314</v>
      </c>
      <c r="D725" s="1" t="s">
        <v>1440</v>
      </c>
      <c r="E725" s="1" t="s">
        <v>1448</v>
      </c>
      <c r="F725" s="1" t="s">
        <v>1449</v>
      </c>
      <c r="G725" s="11">
        <v>0</v>
      </c>
      <c r="H725" s="11">
        <f t="shared" ref="H725:I725" si="256">300+300+300</f>
        <v>900</v>
      </c>
      <c r="I725" s="11">
        <f t="shared" si="256"/>
        <v>900</v>
      </c>
      <c r="J725" s="1" t="s">
        <v>1443</v>
      </c>
    </row>
    <row r="726" spans="1:10" ht="48">
      <c r="A726" s="1">
        <v>2023</v>
      </c>
      <c r="B726" s="1" t="s">
        <v>9</v>
      </c>
      <c r="C726" s="1" t="s">
        <v>1314</v>
      </c>
      <c r="D726" s="1" t="s">
        <v>1440</v>
      </c>
      <c r="E726" s="1" t="s">
        <v>1450</v>
      </c>
      <c r="F726" s="1" t="s">
        <v>1451</v>
      </c>
      <c r="G726" s="11">
        <v>4640</v>
      </c>
      <c r="H726" s="11">
        <f>288+287+288</f>
        <v>863</v>
      </c>
      <c r="I726" s="11">
        <f>413+391+352</f>
        <v>1156</v>
      </c>
      <c r="J726" s="1" t="s">
        <v>1443</v>
      </c>
    </row>
    <row r="727" spans="1:10" ht="48">
      <c r="A727" s="1">
        <v>2023</v>
      </c>
      <c r="B727" s="1" t="s">
        <v>9</v>
      </c>
      <c r="C727" s="1" t="s">
        <v>1314</v>
      </c>
      <c r="D727" s="1" t="s">
        <v>1440</v>
      </c>
      <c r="E727" s="1" t="s">
        <v>1452</v>
      </c>
      <c r="F727" s="1" t="s">
        <v>1453</v>
      </c>
      <c r="G727" s="11">
        <v>4640</v>
      </c>
      <c r="H727" s="11">
        <f t="shared" ref="H727:H728" si="257">288+288+288</f>
        <v>864</v>
      </c>
      <c r="I727" s="11">
        <f>413+390+357</f>
        <v>1160</v>
      </c>
      <c r="J727" s="1" t="s">
        <v>1443</v>
      </c>
    </row>
    <row r="728" spans="1:10" ht="48">
      <c r="A728" s="1">
        <v>2023</v>
      </c>
      <c r="B728" s="1" t="s">
        <v>9</v>
      </c>
      <c r="C728" s="1" t="s">
        <v>1314</v>
      </c>
      <c r="D728" s="1" t="s">
        <v>1440</v>
      </c>
      <c r="E728" s="1" t="s">
        <v>1454</v>
      </c>
      <c r="F728" s="1" t="s">
        <v>1455</v>
      </c>
      <c r="G728" s="11">
        <v>4640</v>
      </c>
      <c r="H728" s="11">
        <f t="shared" si="257"/>
        <v>864</v>
      </c>
      <c r="I728" s="11">
        <f>412+391+390</f>
        <v>1193</v>
      </c>
      <c r="J728" s="1" t="s">
        <v>1443</v>
      </c>
    </row>
    <row r="729" spans="1:10" ht="48">
      <c r="A729" s="1">
        <v>2023</v>
      </c>
      <c r="B729" s="1" t="s">
        <v>9</v>
      </c>
      <c r="C729" s="1" t="s">
        <v>1314</v>
      </c>
      <c r="D729" s="1" t="s">
        <v>1440</v>
      </c>
      <c r="E729" s="1" t="s">
        <v>1456</v>
      </c>
      <c r="F729" s="1" t="s">
        <v>1449</v>
      </c>
      <c r="G729" s="11">
        <v>0</v>
      </c>
      <c r="H729" s="11">
        <f t="shared" ref="H729:I729" si="258">300+300+300</f>
        <v>900</v>
      </c>
      <c r="I729" s="11">
        <f t="shared" si="258"/>
        <v>900</v>
      </c>
      <c r="J729" s="1" t="s">
        <v>1443</v>
      </c>
    </row>
    <row r="730" spans="1:10" ht="48">
      <c r="A730" s="1">
        <v>2023</v>
      </c>
      <c r="B730" s="1" t="s">
        <v>9</v>
      </c>
      <c r="C730" s="1" t="s">
        <v>1314</v>
      </c>
      <c r="D730" s="1" t="s">
        <v>1440</v>
      </c>
      <c r="E730" s="1" t="s">
        <v>1457</v>
      </c>
      <c r="F730" s="1" t="s">
        <v>1458</v>
      </c>
      <c r="G730" s="11">
        <v>0</v>
      </c>
      <c r="H730" s="11">
        <f t="shared" ref="H730:I730" si="259">300+300+300</f>
        <v>900</v>
      </c>
      <c r="I730" s="11">
        <f t="shared" si="259"/>
        <v>900</v>
      </c>
      <c r="J730" s="1" t="s">
        <v>1443</v>
      </c>
    </row>
    <row r="731" spans="1:10" ht="72">
      <c r="A731" s="1">
        <v>2023</v>
      </c>
      <c r="B731" s="1" t="s">
        <v>9</v>
      </c>
      <c r="C731" s="1" t="s">
        <v>10</v>
      </c>
      <c r="D731" s="1" t="s">
        <v>1459</v>
      </c>
      <c r="E731" s="1" t="s">
        <v>1460</v>
      </c>
      <c r="F731" s="1" t="s">
        <v>1461</v>
      </c>
      <c r="G731" s="2">
        <v>0</v>
      </c>
      <c r="H731" s="21">
        <v>1</v>
      </c>
      <c r="I731" s="21">
        <v>1</v>
      </c>
      <c r="J731" s="1" t="s">
        <v>1462</v>
      </c>
    </row>
    <row r="732" spans="1:10" ht="72">
      <c r="A732" s="1">
        <v>2023</v>
      </c>
      <c r="B732" s="1" t="s">
        <v>9</v>
      </c>
      <c r="C732" s="1" t="s">
        <v>10</v>
      </c>
      <c r="D732" s="1" t="s">
        <v>1459</v>
      </c>
      <c r="E732" s="1" t="s">
        <v>1463</v>
      </c>
      <c r="F732" s="1" t="s">
        <v>1464</v>
      </c>
      <c r="G732" s="2">
        <v>0</v>
      </c>
      <c r="H732" s="21">
        <v>1</v>
      </c>
      <c r="I732" s="21">
        <v>1</v>
      </c>
      <c r="J732" s="1" t="s">
        <v>1462</v>
      </c>
    </row>
    <row r="733" spans="1:10" ht="48">
      <c r="A733" s="1">
        <v>2023</v>
      </c>
      <c r="B733" s="1" t="s">
        <v>9</v>
      </c>
      <c r="C733" s="1" t="s">
        <v>10</v>
      </c>
      <c r="D733" s="1" t="s">
        <v>1459</v>
      </c>
      <c r="E733" s="1" t="s">
        <v>1465</v>
      </c>
      <c r="F733" s="1" t="s">
        <v>1466</v>
      </c>
      <c r="G733" s="2">
        <v>252</v>
      </c>
      <c r="H733" s="4">
        <v>0.24990000000000001</v>
      </c>
      <c r="I733" s="4">
        <v>0.24990000000000001</v>
      </c>
      <c r="J733" s="1" t="s">
        <v>1462</v>
      </c>
    </row>
    <row r="734" spans="1:10" ht="48">
      <c r="A734" s="1">
        <v>2023</v>
      </c>
      <c r="B734" s="1" t="s">
        <v>9</v>
      </c>
      <c r="C734" s="1" t="s">
        <v>10</v>
      </c>
      <c r="D734" s="1" t="s">
        <v>1459</v>
      </c>
      <c r="E734" s="1" t="s">
        <v>1467</v>
      </c>
      <c r="F734" s="1" t="s">
        <v>1468</v>
      </c>
      <c r="G734" s="2">
        <v>24</v>
      </c>
      <c r="H734" s="4">
        <v>0.24990000000000001</v>
      </c>
      <c r="I734" s="4">
        <v>0.24990000000000001</v>
      </c>
      <c r="J734" s="1" t="s">
        <v>1462</v>
      </c>
    </row>
    <row r="735" spans="1:10" ht="48">
      <c r="A735" s="1">
        <v>2023</v>
      </c>
      <c r="B735" s="1" t="s">
        <v>9</v>
      </c>
      <c r="C735" s="1" t="s">
        <v>10</v>
      </c>
      <c r="D735" s="1" t="s">
        <v>1459</v>
      </c>
      <c r="E735" s="1" t="s">
        <v>1469</v>
      </c>
      <c r="F735" s="1" t="s">
        <v>1470</v>
      </c>
      <c r="G735" s="2">
        <v>252</v>
      </c>
      <c r="H735" s="2">
        <v>63</v>
      </c>
      <c r="I735" s="2">
        <v>63</v>
      </c>
      <c r="J735" s="1" t="s">
        <v>1462</v>
      </c>
    </row>
    <row r="736" spans="1:10" ht="48">
      <c r="A736" s="1">
        <v>2023</v>
      </c>
      <c r="B736" s="1" t="s">
        <v>9</v>
      </c>
      <c r="C736" s="1" t="s">
        <v>10</v>
      </c>
      <c r="D736" s="1" t="s">
        <v>1459</v>
      </c>
      <c r="E736" s="1" t="s">
        <v>1471</v>
      </c>
      <c r="F736" s="1" t="s">
        <v>1472</v>
      </c>
      <c r="G736" s="2">
        <v>12</v>
      </c>
      <c r="H736" s="2">
        <v>3</v>
      </c>
      <c r="I736" s="2">
        <v>3</v>
      </c>
      <c r="J736" s="1" t="s">
        <v>1462</v>
      </c>
    </row>
    <row r="737" spans="1:10" ht="48">
      <c r="A737" s="1">
        <v>2023</v>
      </c>
      <c r="B737" s="1" t="s">
        <v>9</v>
      </c>
      <c r="C737" s="1" t="s">
        <v>10</v>
      </c>
      <c r="D737" s="1" t="s">
        <v>1459</v>
      </c>
      <c r="E737" s="1" t="s">
        <v>1473</v>
      </c>
      <c r="F737" s="1" t="s">
        <v>1474</v>
      </c>
      <c r="G737" s="2">
        <v>20</v>
      </c>
      <c r="H737" s="2">
        <v>5</v>
      </c>
      <c r="I737" s="2">
        <v>3</v>
      </c>
      <c r="J737" s="1" t="s">
        <v>1462</v>
      </c>
    </row>
    <row r="738" spans="1:10" ht="48">
      <c r="A738" s="1">
        <v>2023</v>
      </c>
      <c r="B738" s="1" t="s">
        <v>9</v>
      </c>
      <c r="C738" s="1" t="s">
        <v>10</v>
      </c>
      <c r="D738" s="1" t="s">
        <v>1459</v>
      </c>
      <c r="E738" s="1" t="s">
        <v>1475</v>
      </c>
      <c r="F738" s="1" t="s">
        <v>1476</v>
      </c>
      <c r="G738" s="2">
        <v>20</v>
      </c>
      <c r="H738" s="2">
        <v>5</v>
      </c>
      <c r="I738" s="2">
        <v>3</v>
      </c>
      <c r="J738" s="1" t="s">
        <v>1462</v>
      </c>
    </row>
    <row r="739" spans="1:10" ht="48">
      <c r="A739" s="1">
        <v>2023</v>
      </c>
      <c r="B739" s="1" t="s">
        <v>9</v>
      </c>
      <c r="C739" s="1" t="s">
        <v>10</v>
      </c>
      <c r="D739" s="1" t="s">
        <v>1459</v>
      </c>
      <c r="E739" s="1" t="s">
        <v>1477</v>
      </c>
      <c r="F739" s="1" t="s">
        <v>1478</v>
      </c>
      <c r="G739" s="2">
        <v>88</v>
      </c>
      <c r="H739" s="2">
        <v>22</v>
      </c>
      <c r="I739" s="2">
        <v>22</v>
      </c>
      <c r="J739" s="1" t="s">
        <v>1462</v>
      </c>
    </row>
    <row r="740" spans="1:10" ht="48">
      <c r="A740" s="1">
        <v>2023</v>
      </c>
      <c r="B740" s="1" t="s">
        <v>9</v>
      </c>
      <c r="C740" s="1" t="s">
        <v>10</v>
      </c>
      <c r="D740" s="1" t="s">
        <v>1459</v>
      </c>
      <c r="E740" s="1" t="s">
        <v>1479</v>
      </c>
      <c r="F740" s="1" t="s">
        <v>1480</v>
      </c>
      <c r="G740" s="2">
        <v>40</v>
      </c>
      <c r="H740" s="2">
        <v>10</v>
      </c>
      <c r="I740" s="2">
        <v>8</v>
      </c>
      <c r="J740" s="1" t="s">
        <v>1462</v>
      </c>
    </row>
    <row r="741" spans="1:10" ht="48">
      <c r="A741" s="1">
        <v>2023</v>
      </c>
      <c r="B741" s="1" t="s">
        <v>9</v>
      </c>
      <c r="C741" s="1" t="s">
        <v>10</v>
      </c>
      <c r="D741" s="1" t="s">
        <v>1459</v>
      </c>
      <c r="E741" s="1" t="s">
        <v>1481</v>
      </c>
      <c r="F741" s="1" t="s">
        <v>1482</v>
      </c>
      <c r="G741" s="2">
        <v>12</v>
      </c>
      <c r="H741" s="2">
        <v>3</v>
      </c>
      <c r="I741" s="2">
        <v>0</v>
      </c>
      <c r="J741" s="1" t="s">
        <v>1462</v>
      </c>
    </row>
    <row r="742" spans="1:10" ht="36">
      <c r="A742" s="1">
        <v>2023</v>
      </c>
      <c r="B742" s="1" t="s">
        <v>9</v>
      </c>
      <c r="C742" s="1" t="s">
        <v>10</v>
      </c>
      <c r="D742" s="1" t="s">
        <v>1483</v>
      </c>
      <c r="E742" s="1" t="s">
        <v>1484</v>
      </c>
      <c r="F742" s="1" t="s">
        <v>1485</v>
      </c>
      <c r="G742" s="2">
        <v>0</v>
      </c>
      <c r="H742" s="4">
        <v>1</v>
      </c>
      <c r="I742" s="4">
        <v>1</v>
      </c>
      <c r="J742" s="1" t="s">
        <v>1486</v>
      </c>
    </row>
    <row r="743" spans="1:10" ht="60">
      <c r="A743" s="1">
        <v>2023</v>
      </c>
      <c r="B743" s="1" t="s">
        <v>9</v>
      </c>
      <c r="C743" s="1" t="s">
        <v>10</v>
      </c>
      <c r="D743" s="1" t="s">
        <v>1483</v>
      </c>
      <c r="E743" s="1" t="s">
        <v>1487</v>
      </c>
      <c r="F743" s="1" t="s">
        <v>1488</v>
      </c>
      <c r="G743" s="2">
        <v>0</v>
      </c>
      <c r="H743" s="4">
        <v>1</v>
      </c>
      <c r="I743" s="4">
        <v>1</v>
      </c>
      <c r="J743" s="1" t="s">
        <v>1486</v>
      </c>
    </row>
    <row r="744" spans="1:10" ht="48">
      <c r="A744" s="1">
        <v>2023</v>
      </c>
      <c r="B744" s="1" t="s">
        <v>9</v>
      </c>
      <c r="C744" s="1" t="s">
        <v>10</v>
      </c>
      <c r="D744" s="1" t="s">
        <v>1483</v>
      </c>
      <c r="E744" s="1" t="s">
        <v>1489</v>
      </c>
      <c r="F744" s="1" t="s">
        <v>1490</v>
      </c>
      <c r="G744" s="2">
        <v>0</v>
      </c>
      <c r="H744" s="4">
        <v>0.24990000000000001</v>
      </c>
      <c r="I744" s="4">
        <v>0.24990000000000001</v>
      </c>
      <c r="J744" s="1" t="s">
        <v>1486</v>
      </c>
    </row>
    <row r="745" spans="1:10" ht="36">
      <c r="A745" s="1">
        <v>2023</v>
      </c>
      <c r="B745" s="1" t="s">
        <v>9</v>
      </c>
      <c r="C745" s="1" t="s">
        <v>10</v>
      </c>
      <c r="D745" s="1" t="s">
        <v>1483</v>
      </c>
      <c r="E745" s="1" t="s">
        <v>1491</v>
      </c>
      <c r="F745" s="1" t="s">
        <v>1492</v>
      </c>
      <c r="G745" s="2">
        <v>60</v>
      </c>
      <c r="H745" s="4">
        <v>0.24990000000000001</v>
      </c>
      <c r="I745" s="4">
        <v>0.24990000000000001</v>
      </c>
      <c r="J745" s="1" t="s">
        <v>1486</v>
      </c>
    </row>
    <row r="746" spans="1:10" ht="36">
      <c r="A746" s="1">
        <v>2023</v>
      </c>
      <c r="B746" s="1" t="s">
        <v>9</v>
      </c>
      <c r="C746" s="1" t="s">
        <v>10</v>
      </c>
      <c r="D746" s="1" t="s">
        <v>1483</v>
      </c>
      <c r="E746" s="1" t="s">
        <v>1493</v>
      </c>
      <c r="F746" s="1" t="s">
        <v>1494</v>
      </c>
      <c r="G746" s="2">
        <v>20</v>
      </c>
      <c r="H746" s="2">
        <v>20</v>
      </c>
      <c r="I746" s="2">
        <v>0</v>
      </c>
      <c r="J746" s="1" t="s">
        <v>1486</v>
      </c>
    </row>
    <row r="747" spans="1:10" ht="36">
      <c r="A747" s="1">
        <v>2023</v>
      </c>
      <c r="B747" s="1" t="s">
        <v>9</v>
      </c>
      <c r="C747" s="1" t="s">
        <v>10</v>
      </c>
      <c r="D747" s="1" t="s">
        <v>1483</v>
      </c>
      <c r="E747" s="1" t="s">
        <v>1495</v>
      </c>
      <c r="F747" s="1" t="s">
        <v>1496</v>
      </c>
      <c r="G747" s="2">
        <v>2</v>
      </c>
      <c r="H747" s="2">
        <v>2</v>
      </c>
      <c r="I747" s="2">
        <v>2</v>
      </c>
      <c r="J747" s="1" t="s">
        <v>1486</v>
      </c>
    </row>
    <row r="748" spans="1:10" ht="36">
      <c r="A748" s="1">
        <v>2023</v>
      </c>
      <c r="B748" s="1" t="s">
        <v>9</v>
      </c>
      <c r="C748" s="1" t="s">
        <v>10</v>
      </c>
      <c r="D748" s="1" t="s">
        <v>1483</v>
      </c>
      <c r="E748" s="1" t="s">
        <v>1497</v>
      </c>
      <c r="F748" s="1" t="s">
        <v>1498</v>
      </c>
      <c r="G748" s="2">
        <v>16</v>
      </c>
      <c r="H748" s="2">
        <v>4</v>
      </c>
      <c r="I748" s="2">
        <v>2</v>
      </c>
      <c r="J748" s="1" t="s">
        <v>1486</v>
      </c>
    </row>
    <row r="749" spans="1:10" ht="36">
      <c r="A749" s="1">
        <v>2023</v>
      </c>
      <c r="B749" s="1" t="s">
        <v>9</v>
      </c>
      <c r="C749" s="1" t="s">
        <v>10</v>
      </c>
      <c r="D749" s="1" t="s">
        <v>1483</v>
      </c>
      <c r="E749" s="1" t="s">
        <v>1499</v>
      </c>
      <c r="F749" s="1" t="s">
        <v>1500</v>
      </c>
      <c r="G749" s="2">
        <v>60</v>
      </c>
      <c r="H749" s="2">
        <v>15</v>
      </c>
      <c r="I749" s="2">
        <v>15</v>
      </c>
      <c r="J749" s="1" t="s">
        <v>1486</v>
      </c>
    </row>
    <row r="750" spans="1:10" ht="48">
      <c r="A750" s="1">
        <v>2023</v>
      </c>
      <c r="B750" s="1" t="s">
        <v>9</v>
      </c>
      <c r="C750" s="1" t="s">
        <v>10</v>
      </c>
      <c r="D750" s="1" t="s">
        <v>1483</v>
      </c>
      <c r="E750" s="1" t="s">
        <v>1501</v>
      </c>
      <c r="F750" s="1" t="s">
        <v>1502</v>
      </c>
      <c r="G750" s="2">
        <v>60</v>
      </c>
      <c r="H750" s="2">
        <v>15</v>
      </c>
      <c r="I750" s="2">
        <v>17</v>
      </c>
      <c r="J750" s="1" t="s">
        <v>1486</v>
      </c>
    </row>
    <row r="751" spans="1:10" ht="36">
      <c r="A751" s="1">
        <v>2023</v>
      </c>
      <c r="B751" s="1" t="s">
        <v>9</v>
      </c>
      <c r="C751" s="1" t="s">
        <v>10</v>
      </c>
      <c r="D751" s="1" t="s">
        <v>1483</v>
      </c>
      <c r="E751" s="1" t="s">
        <v>1503</v>
      </c>
      <c r="F751" s="1" t="s">
        <v>1504</v>
      </c>
      <c r="G751" s="2">
        <v>60</v>
      </c>
      <c r="H751" s="2">
        <v>15</v>
      </c>
      <c r="I751" s="2">
        <v>17</v>
      </c>
      <c r="J751" s="1" t="s">
        <v>1486</v>
      </c>
    </row>
    <row r="752" spans="1:10" ht="48">
      <c r="A752" s="1">
        <v>2023</v>
      </c>
      <c r="B752" s="1" t="s">
        <v>9</v>
      </c>
      <c r="C752" s="1" t="s">
        <v>10</v>
      </c>
      <c r="D752" s="1" t="s">
        <v>1483</v>
      </c>
      <c r="E752" s="1" t="s">
        <v>1505</v>
      </c>
      <c r="F752" s="1" t="s">
        <v>1506</v>
      </c>
      <c r="G752" s="2">
        <v>60</v>
      </c>
      <c r="H752" s="2">
        <v>15</v>
      </c>
      <c r="I752" s="2">
        <v>13</v>
      </c>
      <c r="J752" s="1" t="s">
        <v>1486</v>
      </c>
    </row>
    <row r="753" spans="1:10" ht="72">
      <c r="A753" s="1">
        <v>2023</v>
      </c>
      <c r="B753" s="1" t="s">
        <v>9</v>
      </c>
      <c r="C753" s="1" t="s">
        <v>10</v>
      </c>
      <c r="D753" s="1" t="s">
        <v>1507</v>
      </c>
      <c r="E753" s="1" t="s">
        <v>1508</v>
      </c>
      <c r="F753" s="1" t="s">
        <v>1509</v>
      </c>
      <c r="G753" s="2">
        <v>0</v>
      </c>
      <c r="H753" s="4">
        <v>1</v>
      </c>
      <c r="I753" s="4">
        <v>1</v>
      </c>
      <c r="J753" s="1" t="s">
        <v>1510</v>
      </c>
    </row>
    <row r="754" spans="1:10" ht="48">
      <c r="A754" s="1">
        <v>2023</v>
      </c>
      <c r="B754" s="1" t="s">
        <v>9</v>
      </c>
      <c r="C754" s="1" t="s">
        <v>10</v>
      </c>
      <c r="D754" s="1" t="s">
        <v>1507</v>
      </c>
      <c r="E754" s="1" t="s">
        <v>1511</v>
      </c>
      <c r="F754" s="1" t="s">
        <v>1512</v>
      </c>
      <c r="G754" s="2">
        <v>0</v>
      </c>
      <c r="H754" s="4">
        <v>1</v>
      </c>
      <c r="I754" s="4">
        <v>1</v>
      </c>
      <c r="J754" s="1" t="s">
        <v>1510</v>
      </c>
    </row>
    <row r="755" spans="1:10" ht="48">
      <c r="A755" s="1">
        <v>2023</v>
      </c>
      <c r="B755" s="1" t="s">
        <v>9</v>
      </c>
      <c r="C755" s="1" t="s">
        <v>10</v>
      </c>
      <c r="D755" s="1" t="s">
        <v>1507</v>
      </c>
      <c r="E755" s="1" t="s">
        <v>1513</v>
      </c>
      <c r="F755" s="1" t="s">
        <v>1514</v>
      </c>
      <c r="G755" s="5">
        <v>24</v>
      </c>
      <c r="H755" s="4">
        <v>0.24990000000000001</v>
      </c>
      <c r="I755" s="4">
        <v>0.24990000000000001</v>
      </c>
      <c r="J755" s="1" t="s">
        <v>1510</v>
      </c>
    </row>
    <row r="756" spans="1:10" ht="48">
      <c r="A756" s="1">
        <v>2023</v>
      </c>
      <c r="B756" s="1" t="s">
        <v>9</v>
      </c>
      <c r="C756" s="1" t="s">
        <v>10</v>
      </c>
      <c r="D756" s="1" t="s">
        <v>1507</v>
      </c>
      <c r="E756" s="1" t="s">
        <v>1515</v>
      </c>
      <c r="F756" s="1" t="s">
        <v>1516</v>
      </c>
      <c r="G756" s="2">
        <v>10</v>
      </c>
      <c r="H756" s="4">
        <v>0.24990000000000001</v>
      </c>
      <c r="I756" s="4">
        <v>0.24990000000000001</v>
      </c>
      <c r="J756" s="1" t="s">
        <v>1510</v>
      </c>
    </row>
    <row r="757" spans="1:10" ht="72">
      <c r="A757" s="1">
        <v>2023</v>
      </c>
      <c r="B757" s="1" t="s">
        <v>9</v>
      </c>
      <c r="C757" s="1" t="s">
        <v>10</v>
      </c>
      <c r="D757" s="1" t="s">
        <v>1507</v>
      </c>
      <c r="E757" s="1" t="s">
        <v>1517</v>
      </c>
      <c r="F757" s="1" t="s">
        <v>1478</v>
      </c>
      <c r="G757" s="2">
        <v>23</v>
      </c>
      <c r="H757" s="2">
        <v>23</v>
      </c>
      <c r="I757" s="2">
        <v>23</v>
      </c>
      <c r="J757" s="1" t="s">
        <v>1510</v>
      </c>
    </row>
    <row r="758" spans="1:10" ht="48">
      <c r="A758" s="1">
        <v>2023</v>
      </c>
      <c r="B758" s="1" t="s">
        <v>9</v>
      </c>
      <c r="C758" s="1" t="s">
        <v>10</v>
      </c>
      <c r="D758" s="1" t="s">
        <v>1507</v>
      </c>
      <c r="E758" s="1" t="s">
        <v>1518</v>
      </c>
      <c r="F758" s="1" t="s">
        <v>1519</v>
      </c>
      <c r="G758" s="2">
        <v>30</v>
      </c>
      <c r="H758" s="2">
        <v>30</v>
      </c>
      <c r="I758" s="2">
        <v>20</v>
      </c>
      <c r="J758" s="1" t="s">
        <v>1510</v>
      </c>
    </row>
    <row r="759" spans="1:10" ht="48">
      <c r="A759" s="1">
        <v>2023</v>
      </c>
      <c r="B759" s="1" t="s">
        <v>9</v>
      </c>
      <c r="C759" s="1" t="s">
        <v>10</v>
      </c>
      <c r="D759" s="1" t="s">
        <v>1507</v>
      </c>
      <c r="E759" s="1" t="s">
        <v>1520</v>
      </c>
      <c r="F759" s="1" t="s">
        <v>1521</v>
      </c>
      <c r="G759" s="2">
        <v>4</v>
      </c>
      <c r="H759" s="2">
        <v>1</v>
      </c>
      <c r="I759" s="2">
        <v>1</v>
      </c>
      <c r="J759" s="1" t="s">
        <v>1510</v>
      </c>
    </row>
    <row r="760" spans="1:10" ht="60">
      <c r="A760" s="1">
        <v>2023</v>
      </c>
      <c r="B760" s="1" t="s">
        <v>9</v>
      </c>
      <c r="C760" s="1" t="s">
        <v>10</v>
      </c>
      <c r="D760" s="1" t="s">
        <v>1507</v>
      </c>
      <c r="E760" s="1" t="s">
        <v>1522</v>
      </c>
      <c r="F760" s="1" t="s">
        <v>1523</v>
      </c>
      <c r="G760" s="2">
        <v>15</v>
      </c>
      <c r="H760" s="2">
        <v>15</v>
      </c>
      <c r="I760" s="2">
        <v>3</v>
      </c>
      <c r="J760" s="1" t="s">
        <v>1510</v>
      </c>
    </row>
    <row r="761" spans="1:10" ht="48">
      <c r="A761" s="1">
        <v>2023</v>
      </c>
      <c r="B761" s="1" t="s">
        <v>9</v>
      </c>
      <c r="C761" s="1" t="s">
        <v>10</v>
      </c>
      <c r="D761" s="1" t="s">
        <v>1507</v>
      </c>
      <c r="E761" s="1" t="s">
        <v>1524</v>
      </c>
      <c r="F761" s="1" t="s">
        <v>1525</v>
      </c>
      <c r="G761" s="2">
        <v>12</v>
      </c>
      <c r="H761" s="2">
        <v>6</v>
      </c>
      <c r="I761" s="2">
        <v>3</v>
      </c>
      <c r="J761" s="1" t="s">
        <v>1510</v>
      </c>
    </row>
    <row r="762" spans="1:10" ht="48">
      <c r="A762" s="1">
        <v>2023</v>
      </c>
      <c r="B762" s="1" t="s">
        <v>9</v>
      </c>
      <c r="C762" s="1" t="s">
        <v>10</v>
      </c>
      <c r="D762" s="1" t="s">
        <v>1507</v>
      </c>
      <c r="E762" s="1" t="s">
        <v>1526</v>
      </c>
      <c r="F762" s="1" t="s">
        <v>1527</v>
      </c>
      <c r="G762" s="2">
        <v>20</v>
      </c>
      <c r="H762" s="2">
        <v>20</v>
      </c>
      <c r="I762" s="2">
        <v>3</v>
      </c>
      <c r="J762" s="1" t="s">
        <v>1510</v>
      </c>
    </row>
    <row r="763" spans="1:10" ht="48">
      <c r="A763" s="1">
        <v>2023</v>
      </c>
      <c r="B763" s="1" t="s">
        <v>9</v>
      </c>
      <c r="C763" s="1" t="s">
        <v>10</v>
      </c>
      <c r="D763" s="1" t="s">
        <v>1507</v>
      </c>
      <c r="E763" s="1" t="s">
        <v>1528</v>
      </c>
      <c r="F763" s="1" t="s">
        <v>1529</v>
      </c>
      <c r="G763" s="2">
        <v>2</v>
      </c>
      <c r="H763" s="2">
        <v>2</v>
      </c>
      <c r="I763" s="2">
        <v>0</v>
      </c>
      <c r="J763" s="1" t="s">
        <v>1510</v>
      </c>
    </row>
    <row r="764" spans="1:10" ht="48">
      <c r="A764" s="1">
        <v>2023</v>
      </c>
      <c r="B764" s="1" t="s">
        <v>9</v>
      </c>
      <c r="C764" s="1" t="s">
        <v>1530</v>
      </c>
      <c r="D764" s="1" t="s">
        <v>1531</v>
      </c>
      <c r="E764" s="1" t="s">
        <v>1532</v>
      </c>
      <c r="F764" s="1" t="s">
        <v>1533</v>
      </c>
      <c r="G764" s="3">
        <v>0</v>
      </c>
      <c r="H764" s="3">
        <f t="shared" ref="H764:I764" si="260">0+0+100%</f>
        <v>1</v>
      </c>
      <c r="I764" s="3">
        <f t="shared" si="260"/>
        <v>1</v>
      </c>
      <c r="J764" s="1" t="s">
        <v>1534</v>
      </c>
    </row>
    <row r="765" spans="1:10" ht="96">
      <c r="A765" s="1">
        <v>2023</v>
      </c>
      <c r="B765" s="1" t="s">
        <v>9</v>
      </c>
      <c r="C765" s="1" t="s">
        <v>1535</v>
      </c>
      <c r="D765" s="1" t="s">
        <v>1531</v>
      </c>
      <c r="E765" s="1" t="s">
        <v>1536</v>
      </c>
      <c r="F765" s="1" t="s">
        <v>1537</v>
      </c>
      <c r="G765" s="3">
        <v>0</v>
      </c>
      <c r="H765" s="3">
        <f t="shared" ref="H765:I765" si="261">0+0+100%</f>
        <v>1</v>
      </c>
      <c r="I765" s="3">
        <f t="shared" si="261"/>
        <v>1</v>
      </c>
      <c r="J765" s="1" t="s">
        <v>1534</v>
      </c>
    </row>
    <row r="766" spans="1:10" ht="72">
      <c r="A766" s="1">
        <v>2023</v>
      </c>
      <c r="B766" s="1" t="s">
        <v>9</v>
      </c>
      <c r="C766" s="1" t="s">
        <v>1530</v>
      </c>
      <c r="D766" s="1" t="s">
        <v>1531</v>
      </c>
      <c r="E766" s="1" t="s">
        <v>1538</v>
      </c>
      <c r="F766" s="1" t="s">
        <v>1539</v>
      </c>
      <c r="G766" s="3">
        <v>0</v>
      </c>
      <c r="H766" s="3">
        <f t="shared" ref="H766:H770" si="262">10%+5%+5%</f>
        <v>0.2</v>
      </c>
      <c r="I766" s="4">
        <f>0%+0%+0%</f>
        <v>0</v>
      </c>
      <c r="J766" s="1" t="s">
        <v>1534</v>
      </c>
    </row>
    <row r="767" spans="1:10" ht="72">
      <c r="A767" s="1">
        <v>2023</v>
      </c>
      <c r="B767" s="1" t="s">
        <v>9</v>
      </c>
      <c r="C767" s="1" t="s">
        <v>1530</v>
      </c>
      <c r="D767" s="1" t="s">
        <v>1531</v>
      </c>
      <c r="E767" s="1" t="s">
        <v>1540</v>
      </c>
      <c r="F767" s="1" t="s">
        <v>1541</v>
      </c>
      <c r="G767" s="3">
        <v>0</v>
      </c>
      <c r="H767" s="3">
        <f t="shared" si="262"/>
        <v>0.2</v>
      </c>
      <c r="I767" s="4">
        <f t="shared" ref="I767:I768" si="263">10%+5%+5%</f>
        <v>0.2</v>
      </c>
      <c r="J767" s="1" t="s">
        <v>1534</v>
      </c>
    </row>
    <row r="768" spans="1:10" ht="84">
      <c r="A768" s="1">
        <v>2023</v>
      </c>
      <c r="B768" s="1" t="s">
        <v>9</v>
      </c>
      <c r="C768" s="1" t="s">
        <v>1530</v>
      </c>
      <c r="D768" s="1" t="s">
        <v>1531</v>
      </c>
      <c r="E768" s="1" t="s">
        <v>1542</v>
      </c>
      <c r="F768" s="1" t="s">
        <v>1543</v>
      </c>
      <c r="G768" s="3">
        <v>0</v>
      </c>
      <c r="H768" s="3">
        <f t="shared" si="262"/>
        <v>0.2</v>
      </c>
      <c r="I768" s="4">
        <f t="shared" si="263"/>
        <v>0.2</v>
      </c>
      <c r="J768" s="1" t="s">
        <v>1534</v>
      </c>
    </row>
    <row r="769" spans="1:10" ht="72">
      <c r="A769" s="1">
        <v>2023</v>
      </c>
      <c r="B769" s="1" t="s">
        <v>9</v>
      </c>
      <c r="C769" s="1" t="s">
        <v>1530</v>
      </c>
      <c r="D769" s="1" t="s">
        <v>1531</v>
      </c>
      <c r="E769" s="1" t="s">
        <v>1544</v>
      </c>
      <c r="F769" s="1" t="s">
        <v>1545</v>
      </c>
      <c r="G769" s="3">
        <v>0</v>
      </c>
      <c r="H769" s="3">
        <f t="shared" si="262"/>
        <v>0.2</v>
      </c>
      <c r="I769" s="4">
        <f>10%+5%+0%</f>
        <v>0.15000000000000002</v>
      </c>
      <c r="J769" s="1" t="s">
        <v>1534</v>
      </c>
    </row>
    <row r="770" spans="1:10" ht="96">
      <c r="A770" s="1">
        <v>2023</v>
      </c>
      <c r="B770" s="1" t="s">
        <v>9</v>
      </c>
      <c r="C770" s="1" t="s">
        <v>1546</v>
      </c>
      <c r="D770" s="1" t="s">
        <v>1531</v>
      </c>
      <c r="E770" s="1" t="s">
        <v>1547</v>
      </c>
      <c r="F770" s="1" t="s">
        <v>1548</v>
      </c>
      <c r="G770" s="3">
        <v>0</v>
      </c>
      <c r="H770" s="3">
        <f t="shared" si="262"/>
        <v>0.2</v>
      </c>
      <c r="I770" s="4">
        <f>5%+5%+0%</f>
        <v>0.1</v>
      </c>
      <c r="J770" s="1" t="s">
        <v>1534</v>
      </c>
    </row>
    <row r="771" spans="1:10" ht="36">
      <c r="A771" s="1">
        <v>2023</v>
      </c>
      <c r="B771" s="1" t="s">
        <v>9</v>
      </c>
      <c r="C771" s="1" t="s">
        <v>1530</v>
      </c>
      <c r="D771" s="1" t="s">
        <v>1531</v>
      </c>
      <c r="E771" s="1" t="s">
        <v>1549</v>
      </c>
      <c r="F771" s="1" t="s">
        <v>1550</v>
      </c>
      <c r="G771" s="2">
        <v>12</v>
      </c>
      <c r="H771" s="2">
        <f>1+1+1</f>
        <v>3</v>
      </c>
      <c r="I771" s="2">
        <f t="shared" ref="I771:I773" si="264">0+0+0</f>
        <v>0</v>
      </c>
      <c r="J771" s="1" t="s">
        <v>1534</v>
      </c>
    </row>
    <row r="772" spans="1:10" ht="36">
      <c r="A772" s="1">
        <v>2023</v>
      </c>
      <c r="B772" s="1" t="s">
        <v>9</v>
      </c>
      <c r="C772" s="1" t="s">
        <v>1530</v>
      </c>
      <c r="D772" s="1" t="s">
        <v>1531</v>
      </c>
      <c r="E772" s="1" t="s">
        <v>1551</v>
      </c>
      <c r="F772" s="1" t="s">
        <v>1552</v>
      </c>
      <c r="G772" s="2">
        <v>10</v>
      </c>
      <c r="H772" s="5">
        <f>1+0+0</f>
        <v>1</v>
      </c>
      <c r="I772" s="2">
        <f t="shared" si="264"/>
        <v>0</v>
      </c>
      <c r="J772" s="1" t="s">
        <v>1534</v>
      </c>
    </row>
    <row r="773" spans="1:10" ht="36">
      <c r="A773" s="1">
        <v>2023</v>
      </c>
      <c r="B773" s="1" t="s">
        <v>9</v>
      </c>
      <c r="C773" s="1" t="s">
        <v>1530</v>
      </c>
      <c r="D773" s="1" t="s">
        <v>1531</v>
      </c>
      <c r="E773" s="1" t="s">
        <v>1553</v>
      </c>
      <c r="F773" s="1" t="s">
        <v>1554</v>
      </c>
      <c r="G773" s="2">
        <v>20</v>
      </c>
      <c r="H773" s="2">
        <f>2+2+1</f>
        <v>5</v>
      </c>
      <c r="I773" s="2">
        <f t="shared" si="264"/>
        <v>0</v>
      </c>
      <c r="J773" s="1" t="s">
        <v>1534</v>
      </c>
    </row>
    <row r="774" spans="1:10" ht="36">
      <c r="A774" s="1">
        <v>2023</v>
      </c>
      <c r="B774" s="1" t="s">
        <v>9</v>
      </c>
      <c r="C774" s="1" t="s">
        <v>1530</v>
      </c>
      <c r="D774" s="1" t="s">
        <v>1531</v>
      </c>
      <c r="E774" s="1" t="s">
        <v>1549</v>
      </c>
      <c r="F774" s="1" t="s">
        <v>1550</v>
      </c>
      <c r="G774" s="2">
        <v>8</v>
      </c>
      <c r="H774" s="2">
        <f>1+1+0</f>
        <v>2</v>
      </c>
      <c r="I774" s="2">
        <f>1+0+0</f>
        <v>1</v>
      </c>
      <c r="J774" s="1" t="s">
        <v>1534</v>
      </c>
    </row>
    <row r="775" spans="1:10" ht="36">
      <c r="A775" s="1">
        <v>2023</v>
      </c>
      <c r="B775" s="1" t="s">
        <v>9</v>
      </c>
      <c r="C775" s="1" t="s">
        <v>1535</v>
      </c>
      <c r="D775" s="1" t="s">
        <v>1531</v>
      </c>
      <c r="E775" s="1" t="s">
        <v>1551</v>
      </c>
      <c r="F775" s="1" t="s">
        <v>1555</v>
      </c>
      <c r="G775" s="2">
        <v>10</v>
      </c>
      <c r="H775" s="5">
        <f t="shared" ref="H775:I775" si="265">1+0+0</f>
        <v>1</v>
      </c>
      <c r="I775" s="2">
        <f t="shared" si="265"/>
        <v>1</v>
      </c>
      <c r="J775" s="1" t="s">
        <v>1534</v>
      </c>
    </row>
    <row r="776" spans="1:10" ht="36">
      <c r="A776" s="1">
        <v>2023</v>
      </c>
      <c r="B776" s="1" t="s">
        <v>9</v>
      </c>
      <c r="C776" s="1" t="s">
        <v>1530</v>
      </c>
      <c r="D776" s="1" t="s">
        <v>1531</v>
      </c>
      <c r="E776" s="1" t="s">
        <v>1553</v>
      </c>
      <c r="F776" s="1" t="s">
        <v>1554</v>
      </c>
      <c r="G776" s="2">
        <v>20</v>
      </c>
      <c r="H776" s="2">
        <f>2+2+1</f>
        <v>5</v>
      </c>
      <c r="I776" s="2">
        <f>3+3+3</f>
        <v>9</v>
      </c>
      <c r="J776" s="1" t="s">
        <v>1534</v>
      </c>
    </row>
    <row r="777" spans="1:10" ht="36">
      <c r="A777" s="1">
        <v>2023</v>
      </c>
      <c r="B777" s="1" t="s">
        <v>9</v>
      </c>
      <c r="C777" s="1" t="s">
        <v>1530</v>
      </c>
      <c r="D777" s="1" t="s">
        <v>1531</v>
      </c>
      <c r="E777" s="1" t="s">
        <v>1549</v>
      </c>
      <c r="F777" s="1" t="s">
        <v>1550</v>
      </c>
      <c r="G777" s="2">
        <v>4</v>
      </c>
      <c r="H777" s="2">
        <f>0+0+1</f>
        <v>1</v>
      </c>
      <c r="I777" s="2">
        <f>0+0+0</f>
        <v>0</v>
      </c>
      <c r="J777" s="1" t="s">
        <v>1534</v>
      </c>
    </row>
    <row r="778" spans="1:10" ht="36">
      <c r="A778" s="1">
        <v>2023</v>
      </c>
      <c r="B778" s="1" t="s">
        <v>9</v>
      </c>
      <c r="C778" s="1" t="s">
        <v>1530</v>
      </c>
      <c r="D778" s="1" t="s">
        <v>1531</v>
      </c>
      <c r="E778" s="1" t="s">
        <v>1551</v>
      </c>
      <c r="F778" s="1" t="s">
        <v>1555</v>
      </c>
      <c r="G778" s="2">
        <v>8</v>
      </c>
      <c r="H778" s="2">
        <f>0+1+1</f>
        <v>2</v>
      </c>
      <c r="I778" s="2">
        <f>1+1+1</f>
        <v>3</v>
      </c>
      <c r="J778" s="1" t="s">
        <v>1534</v>
      </c>
    </row>
    <row r="779" spans="1:10" ht="36">
      <c r="A779" s="1">
        <v>2023</v>
      </c>
      <c r="B779" s="1" t="s">
        <v>9</v>
      </c>
      <c r="C779" s="1" t="s">
        <v>1530</v>
      </c>
      <c r="D779" s="1" t="s">
        <v>1531</v>
      </c>
      <c r="E779" s="1" t="s">
        <v>1553</v>
      </c>
      <c r="F779" s="1" t="s">
        <v>1554</v>
      </c>
      <c r="G779" s="2">
        <v>20</v>
      </c>
      <c r="H779" s="2">
        <f>2+2+1</f>
        <v>5</v>
      </c>
      <c r="I779" s="2">
        <f t="shared" ref="I779:I780" si="266">1+1+0</f>
        <v>2</v>
      </c>
      <c r="J779" s="1" t="s">
        <v>1534</v>
      </c>
    </row>
    <row r="780" spans="1:10" ht="36">
      <c r="A780" s="1">
        <v>2023</v>
      </c>
      <c r="B780" s="1" t="s">
        <v>9</v>
      </c>
      <c r="C780" s="1" t="s">
        <v>1530</v>
      </c>
      <c r="D780" s="1" t="s">
        <v>1531</v>
      </c>
      <c r="E780" s="1" t="s">
        <v>1549</v>
      </c>
      <c r="F780" s="1" t="s">
        <v>1550</v>
      </c>
      <c r="G780" s="2">
        <v>10</v>
      </c>
      <c r="H780" s="5">
        <f>1+0+0</f>
        <v>1</v>
      </c>
      <c r="I780" s="2">
        <f t="shared" si="266"/>
        <v>2</v>
      </c>
      <c r="J780" s="1" t="s">
        <v>1534</v>
      </c>
    </row>
    <row r="781" spans="1:10" ht="36">
      <c r="A781" s="1">
        <v>2023</v>
      </c>
      <c r="B781" s="1" t="s">
        <v>9</v>
      </c>
      <c r="C781" s="1" t="s">
        <v>1530</v>
      </c>
      <c r="D781" s="1" t="s">
        <v>1531</v>
      </c>
      <c r="E781" s="1" t="s">
        <v>1551</v>
      </c>
      <c r="F781" s="1" t="s">
        <v>1555</v>
      </c>
      <c r="G781" s="2">
        <v>8</v>
      </c>
      <c r="H781" s="2">
        <f>1+1+0</f>
        <v>2</v>
      </c>
      <c r="I781" s="2">
        <f>1+0+0</f>
        <v>1</v>
      </c>
      <c r="J781" s="1" t="s">
        <v>1534</v>
      </c>
    </row>
    <row r="782" spans="1:10" ht="36">
      <c r="A782" s="1">
        <v>2023</v>
      </c>
      <c r="B782" s="1" t="s">
        <v>9</v>
      </c>
      <c r="C782" s="1" t="s">
        <v>1530</v>
      </c>
      <c r="D782" s="1" t="s">
        <v>1531</v>
      </c>
      <c r="E782" s="1" t="s">
        <v>1553</v>
      </c>
      <c r="F782" s="1" t="s">
        <v>1554</v>
      </c>
      <c r="G782" s="2">
        <v>60</v>
      </c>
      <c r="H782" s="2">
        <f>5+5+5</f>
        <v>15</v>
      </c>
      <c r="I782" s="2">
        <f>5+5+0</f>
        <v>10</v>
      </c>
      <c r="J782" s="1" t="s">
        <v>1534</v>
      </c>
    </row>
    <row r="783" spans="1:10" ht="36">
      <c r="A783" s="1">
        <v>2023</v>
      </c>
      <c r="B783" s="1" t="s">
        <v>9</v>
      </c>
      <c r="C783" s="1" t="s">
        <v>1530</v>
      </c>
      <c r="D783" s="1" t="s">
        <v>1531</v>
      </c>
      <c r="E783" s="1" t="s">
        <v>1549</v>
      </c>
      <c r="F783" s="1" t="s">
        <v>1550</v>
      </c>
      <c r="G783" s="2">
        <v>16</v>
      </c>
      <c r="H783" s="2">
        <f>2+1+1</f>
        <v>4</v>
      </c>
      <c r="I783" s="2">
        <f>1+1+0</f>
        <v>2</v>
      </c>
      <c r="J783" s="1" t="s">
        <v>1534</v>
      </c>
    </row>
    <row r="784" spans="1:10" ht="36">
      <c r="A784" s="1">
        <v>2023</v>
      </c>
      <c r="B784" s="1" t="s">
        <v>9</v>
      </c>
      <c r="C784" s="1" t="s">
        <v>1530</v>
      </c>
      <c r="D784" s="1" t="s">
        <v>1531</v>
      </c>
      <c r="E784" s="1" t="s">
        <v>1551</v>
      </c>
      <c r="F784" s="1" t="s">
        <v>1555</v>
      </c>
      <c r="G784" s="2">
        <v>8</v>
      </c>
      <c r="H784" s="2">
        <f>1+1+0</f>
        <v>2</v>
      </c>
      <c r="I784" s="2">
        <f>1+0+0</f>
        <v>1</v>
      </c>
      <c r="J784" s="1" t="s">
        <v>1534</v>
      </c>
    </row>
    <row r="785" spans="1:10" ht="36">
      <c r="A785" s="1">
        <v>2023</v>
      </c>
      <c r="B785" s="1" t="s">
        <v>9</v>
      </c>
      <c r="C785" s="1" t="s">
        <v>1530</v>
      </c>
      <c r="D785" s="1" t="s">
        <v>1531</v>
      </c>
      <c r="E785" s="1" t="s">
        <v>1553</v>
      </c>
      <c r="F785" s="1" t="s">
        <v>1554</v>
      </c>
      <c r="G785" s="2">
        <v>48</v>
      </c>
      <c r="H785" s="2">
        <f>0+1+0</f>
        <v>1</v>
      </c>
      <c r="I785" s="2">
        <f>1+1+1</f>
        <v>3</v>
      </c>
      <c r="J785" s="1" t="s">
        <v>1534</v>
      </c>
    </row>
    <row r="786" spans="1:10" ht="60">
      <c r="A786" s="1">
        <v>2023</v>
      </c>
      <c r="B786" s="1" t="s">
        <v>9</v>
      </c>
      <c r="C786" s="1" t="s">
        <v>92</v>
      </c>
      <c r="D786" s="1" t="s">
        <v>1556</v>
      </c>
      <c r="E786" s="1" t="s">
        <v>1557</v>
      </c>
      <c r="F786" s="1" t="s">
        <v>1442</v>
      </c>
      <c r="G786" s="2">
        <v>0</v>
      </c>
      <c r="H786" s="4">
        <v>1</v>
      </c>
      <c r="I786" s="4">
        <v>0.65</v>
      </c>
      <c r="J786" s="1" t="s">
        <v>1558</v>
      </c>
    </row>
    <row r="787" spans="1:10" ht="84">
      <c r="A787" s="1">
        <v>2023</v>
      </c>
      <c r="B787" s="1" t="s">
        <v>9</v>
      </c>
      <c r="C787" s="1" t="s">
        <v>92</v>
      </c>
      <c r="D787" s="1" t="s">
        <v>1556</v>
      </c>
      <c r="E787" s="1" t="s">
        <v>1559</v>
      </c>
      <c r="F787" s="1" t="s">
        <v>1560</v>
      </c>
      <c r="G787" s="2">
        <v>0</v>
      </c>
      <c r="H787" s="4">
        <v>1</v>
      </c>
      <c r="I787" s="4">
        <v>0.85</v>
      </c>
      <c r="J787" s="1" t="s">
        <v>1558</v>
      </c>
    </row>
    <row r="788" spans="1:10" ht="72">
      <c r="A788" s="1">
        <v>2023</v>
      </c>
      <c r="B788" s="1" t="s">
        <v>9</v>
      </c>
      <c r="C788" s="1" t="s">
        <v>92</v>
      </c>
      <c r="D788" s="1" t="s">
        <v>1556</v>
      </c>
      <c r="E788" s="1" t="s">
        <v>1561</v>
      </c>
      <c r="F788" s="1" t="s">
        <v>1562</v>
      </c>
      <c r="G788" s="11">
        <v>228</v>
      </c>
      <c r="H788" s="4">
        <v>0.2273</v>
      </c>
      <c r="I788" s="4">
        <v>0.18179999999999999</v>
      </c>
      <c r="J788" s="1" t="s">
        <v>1558</v>
      </c>
    </row>
    <row r="789" spans="1:10" ht="48">
      <c r="A789" s="1">
        <v>2023</v>
      </c>
      <c r="B789" s="1" t="s">
        <v>9</v>
      </c>
      <c r="C789" s="1" t="s">
        <v>92</v>
      </c>
      <c r="D789" s="1" t="s">
        <v>1556</v>
      </c>
      <c r="E789" s="1" t="s">
        <v>1563</v>
      </c>
      <c r="F789" s="1" t="s">
        <v>1564</v>
      </c>
      <c r="G789" s="2">
        <v>75</v>
      </c>
      <c r="H789" s="4">
        <v>0.29170000000000001</v>
      </c>
      <c r="I789" s="4">
        <v>0.1042</v>
      </c>
      <c r="J789" s="1" t="s">
        <v>1558</v>
      </c>
    </row>
    <row r="790" spans="1:10" ht="120">
      <c r="A790" s="1">
        <v>2023</v>
      </c>
      <c r="B790" s="1" t="s">
        <v>9</v>
      </c>
      <c r="C790" s="1" t="s">
        <v>92</v>
      </c>
      <c r="D790" s="1" t="s">
        <v>1556</v>
      </c>
      <c r="E790" s="1" t="s">
        <v>1565</v>
      </c>
      <c r="F790" s="1" t="s">
        <v>1566</v>
      </c>
      <c r="G790" s="11">
        <v>1067</v>
      </c>
      <c r="H790" s="4">
        <v>0.21279999999999999</v>
      </c>
      <c r="I790" s="4">
        <v>0.2702</v>
      </c>
      <c r="J790" s="1" t="s">
        <v>1558</v>
      </c>
    </row>
    <row r="791" spans="1:10" ht="48">
      <c r="A791" s="1">
        <v>2023</v>
      </c>
      <c r="B791" s="1" t="s">
        <v>9</v>
      </c>
      <c r="C791" s="1" t="s">
        <v>92</v>
      </c>
      <c r="D791" s="1" t="s">
        <v>1556</v>
      </c>
      <c r="E791" s="1" t="s">
        <v>1567</v>
      </c>
      <c r="F791" s="1" t="s">
        <v>1568</v>
      </c>
      <c r="G791" s="2">
        <v>60</v>
      </c>
      <c r="H791" s="4">
        <v>0.24990000000000001</v>
      </c>
      <c r="I791" s="4">
        <v>0.14580000000000001</v>
      </c>
      <c r="J791" s="1" t="s">
        <v>1558</v>
      </c>
    </row>
    <row r="792" spans="1:10" ht="60">
      <c r="A792" s="1">
        <v>2023</v>
      </c>
      <c r="B792" s="1" t="s">
        <v>9</v>
      </c>
      <c r="C792" s="1" t="s">
        <v>92</v>
      </c>
      <c r="D792" s="1" t="s">
        <v>1556</v>
      </c>
      <c r="E792" s="22" t="s">
        <v>1569</v>
      </c>
      <c r="F792" s="1" t="s">
        <v>1570</v>
      </c>
      <c r="G792" s="2">
        <v>6</v>
      </c>
      <c r="H792" s="4">
        <v>0.4</v>
      </c>
      <c r="I792" s="4">
        <v>0.4</v>
      </c>
      <c r="J792" s="1" t="s">
        <v>1558</v>
      </c>
    </row>
    <row r="793" spans="1:10" ht="48">
      <c r="A793" s="1">
        <v>2023</v>
      </c>
      <c r="B793" s="1" t="s">
        <v>9</v>
      </c>
      <c r="C793" s="1" t="s">
        <v>92</v>
      </c>
      <c r="D793" s="1" t="s">
        <v>1556</v>
      </c>
      <c r="E793" s="1" t="s">
        <v>1571</v>
      </c>
      <c r="F793" s="1" t="s">
        <v>1572</v>
      </c>
      <c r="G793" s="2">
        <v>10</v>
      </c>
      <c r="H793" s="4">
        <v>0.50009999999999999</v>
      </c>
      <c r="I793" s="4">
        <v>0.46660000000000001</v>
      </c>
      <c r="J793" s="1" t="s">
        <v>1558</v>
      </c>
    </row>
    <row r="794" spans="1:10" ht="48">
      <c r="A794" s="1">
        <v>2023</v>
      </c>
      <c r="B794" s="1" t="s">
        <v>9</v>
      </c>
      <c r="C794" s="1" t="s">
        <v>92</v>
      </c>
      <c r="D794" s="1" t="s">
        <v>1556</v>
      </c>
      <c r="E794" s="1" t="s">
        <v>1163</v>
      </c>
      <c r="F794" s="1" t="s">
        <v>1573</v>
      </c>
      <c r="G794" s="11">
        <v>20</v>
      </c>
      <c r="H794" s="2">
        <f t="shared" ref="H794:H795" si="267">5+0+5</f>
        <v>10</v>
      </c>
      <c r="I794" s="2">
        <f>5+8+5</f>
        <v>18</v>
      </c>
      <c r="J794" s="1" t="s">
        <v>1558</v>
      </c>
    </row>
    <row r="795" spans="1:10" ht="48">
      <c r="A795" s="1">
        <v>2023</v>
      </c>
      <c r="B795" s="1" t="s">
        <v>9</v>
      </c>
      <c r="C795" s="1" t="s">
        <v>92</v>
      </c>
      <c r="D795" s="1" t="s">
        <v>1556</v>
      </c>
      <c r="E795" s="1" t="s">
        <v>266</v>
      </c>
      <c r="F795" s="1" t="s">
        <v>1574</v>
      </c>
      <c r="G795" s="11">
        <v>20</v>
      </c>
      <c r="H795" s="2">
        <f t="shared" si="267"/>
        <v>10</v>
      </c>
      <c r="I795" s="2">
        <f>3+4+1</f>
        <v>8</v>
      </c>
      <c r="J795" s="1" t="s">
        <v>1558</v>
      </c>
    </row>
    <row r="796" spans="1:10" ht="48">
      <c r="A796" s="1">
        <v>2023</v>
      </c>
      <c r="B796" s="1" t="s">
        <v>9</v>
      </c>
      <c r="C796" s="1" t="s">
        <v>92</v>
      </c>
      <c r="D796" s="1" t="s">
        <v>1556</v>
      </c>
      <c r="E796" s="1" t="s">
        <v>1575</v>
      </c>
      <c r="F796" s="1" t="s">
        <v>1576</v>
      </c>
      <c r="G796" s="2">
        <v>90</v>
      </c>
      <c r="H796" s="2">
        <f>15+15+15</f>
        <v>45</v>
      </c>
      <c r="I796" s="2">
        <f>85+86+83</f>
        <v>254</v>
      </c>
      <c r="J796" s="1" t="s">
        <v>1558</v>
      </c>
    </row>
    <row r="797" spans="1:10" ht="48">
      <c r="A797" s="1">
        <v>2023</v>
      </c>
      <c r="B797" s="1" t="s">
        <v>9</v>
      </c>
      <c r="C797" s="1" t="s">
        <v>92</v>
      </c>
      <c r="D797" s="1" t="s">
        <v>1556</v>
      </c>
      <c r="E797" s="1" t="s">
        <v>1577</v>
      </c>
      <c r="F797" s="1" t="s">
        <v>1578</v>
      </c>
      <c r="G797" s="2">
        <v>5</v>
      </c>
      <c r="H797" s="2">
        <f>1+1+1</f>
        <v>3</v>
      </c>
      <c r="I797" s="2">
        <v>0</v>
      </c>
      <c r="J797" s="1" t="s">
        <v>1558</v>
      </c>
    </row>
    <row r="798" spans="1:10" ht="48">
      <c r="A798" s="1">
        <v>2023</v>
      </c>
      <c r="B798" s="1" t="s">
        <v>9</v>
      </c>
      <c r="C798" s="1" t="s">
        <v>92</v>
      </c>
      <c r="D798" s="1" t="s">
        <v>1556</v>
      </c>
      <c r="E798" s="1" t="s">
        <v>1579</v>
      </c>
      <c r="F798" s="1" t="s">
        <v>1580</v>
      </c>
      <c r="G798" s="2">
        <v>45</v>
      </c>
      <c r="H798" s="2">
        <f>5+10+10</f>
        <v>25</v>
      </c>
      <c r="I798" s="2">
        <f>20+15+4</f>
        <v>39</v>
      </c>
      <c r="J798" s="1" t="s">
        <v>1558</v>
      </c>
    </row>
    <row r="799" spans="1:10" ht="48">
      <c r="A799" s="1">
        <v>2023</v>
      </c>
      <c r="B799" s="1" t="s">
        <v>9</v>
      </c>
      <c r="C799" s="1" t="s">
        <v>92</v>
      </c>
      <c r="D799" s="1" t="s">
        <v>1556</v>
      </c>
      <c r="E799" s="1" t="s">
        <v>1581</v>
      </c>
      <c r="F799" s="1" t="s">
        <v>1582</v>
      </c>
      <c r="G799" s="2">
        <v>60</v>
      </c>
      <c r="H799" s="2">
        <f>10+10+10</f>
        <v>30</v>
      </c>
      <c r="I799" s="2">
        <f>10+16+4</f>
        <v>30</v>
      </c>
      <c r="J799" s="1" t="s">
        <v>1558</v>
      </c>
    </row>
    <row r="800" spans="1:10" ht="48">
      <c r="A800" s="1">
        <v>2023</v>
      </c>
      <c r="B800" s="1" t="s">
        <v>9</v>
      </c>
      <c r="C800" s="1" t="s">
        <v>92</v>
      </c>
      <c r="D800" s="1" t="s">
        <v>1556</v>
      </c>
      <c r="E800" s="1" t="s">
        <v>1575</v>
      </c>
      <c r="F800" s="1" t="s">
        <v>1576</v>
      </c>
      <c r="G800" s="2">
        <v>25</v>
      </c>
      <c r="H800" s="2">
        <f>5+5+5</f>
        <v>15</v>
      </c>
      <c r="I800" s="2">
        <f>80+95+40</f>
        <v>215</v>
      </c>
      <c r="J800" s="1" t="s">
        <v>1558</v>
      </c>
    </row>
    <row r="801" spans="1:10" ht="48">
      <c r="A801" s="1">
        <v>2023</v>
      </c>
      <c r="B801" s="1" t="s">
        <v>9</v>
      </c>
      <c r="C801" s="1" t="s">
        <v>92</v>
      </c>
      <c r="D801" s="1" t="s">
        <v>1583</v>
      </c>
      <c r="E801" s="1" t="s">
        <v>1584</v>
      </c>
      <c r="F801" s="1" t="s">
        <v>1585</v>
      </c>
      <c r="G801" s="2">
        <v>0</v>
      </c>
      <c r="H801" s="4">
        <v>1</v>
      </c>
      <c r="I801" s="4">
        <v>0.86709999999999998</v>
      </c>
      <c r="J801" s="1" t="s">
        <v>1558</v>
      </c>
    </row>
    <row r="802" spans="1:10" ht="48">
      <c r="A802" s="1">
        <v>2023</v>
      </c>
      <c r="B802" s="1" t="s">
        <v>9</v>
      </c>
      <c r="C802" s="1" t="s">
        <v>92</v>
      </c>
      <c r="D802" s="1" t="s">
        <v>1583</v>
      </c>
      <c r="E802" s="22" t="s">
        <v>1586</v>
      </c>
      <c r="F802" s="1" t="s">
        <v>1587</v>
      </c>
      <c r="G802" s="2">
        <v>0</v>
      </c>
      <c r="H802" s="4">
        <v>1</v>
      </c>
      <c r="I802" s="4">
        <v>0.86709999999999998</v>
      </c>
      <c r="J802" s="1" t="s">
        <v>1558</v>
      </c>
    </row>
    <row r="803" spans="1:10" ht="48">
      <c r="A803" s="1">
        <v>2023</v>
      </c>
      <c r="B803" s="1" t="s">
        <v>9</v>
      </c>
      <c r="C803" s="1" t="s">
        <v>92</v>
      </c>
      <c r="D803" s="1" t="s">
        <v>1583</v>
      </c>
      <c r="E803" s="1" t="s">
        <v>1588</v>
      </c>
      <c r="F803" s="1" t="s">
        <v>322</v>
      </c>
      <c r="G803" s="2">
        <v>365</v>
      </c>
      <c r="H803" s="4">
        <v>0.24110000000000001</v>
      </c>
      <c r="I803" s="4">
        <v>0.315</v>
      </c>
      <c r="J803" s="1" t="s">
        <v>1558</v>
      </c>
    </row>
    <row r="804" spans="1:10" ht="48">
      <c r="A804" s="1">
        <v>2023</v>
      </c>
      <c r="B804" s="1" t="s">
        <v>9</v>
      </c>
      <c r="C804" s="1" t="s">
        <v>92</v>
      </c>
      <c r="D804" s="1" t="s">
        <v>1583</v>
      </c>
      <c r="E804" s="1" t="s">
        <v>1589</v>
      </c>
      <c r="F804" s="1" t="s">
        <v>1590</v>
      </c>
      <c r="G804" s="2">
        <v>0</v>
      </c>
      <c r="H804" s="3">
        <v>0</v>
      </c>
      <c r="I804" s="4">
        <v>0</v>
      </c>
      <c r="J804" s="1" t="s">
        <v>1558</v>
      </c>
    </row>
    <row r="805" spans="1:10" ht="48">
      <c r="A805" s="1">
        <v>2023</v>
      </c>
      <c r="B805" s="1" t="s">
        <v>9</v>
      </c>
      <c r="C805" s="1" t="s">
        <v>92</v>
      </c>
      <c r="D805" s="1" t="s">
        <v>1583</v>
      </c>
      <c r="E805" s="1" t="s">
        <v>1589</v>
      </c>
      <c r="F805" s="1" t="s">
        <v>322</v>
      </c>
      <c r="G805" s="2">
        <v>30</v>
      </c>
      <c r="H805" s="3">
        <v>0</v>
      </c>
      <c r="I805" s="4">
        <v>0</v>
      </c>
      <c r="J805" s="1" t="s">
        <v>1558</v>
      </c>
    </row>
    <row r="806" spans="1:10" ht="48">
      <c r="A806" s="1">
        <v>2023</v>
      </c>
      <c r="B806" s="1" t="s">
        <v>9</v>
      </c>
      <c r="C806" s="1" t="s">
        <v>92</v>
      </c>
      <c r="D806" s="1" t="s">
        <v>1583</v>
      </c>
      <c r="E806" s="1" t="s">
        <v>1591</v>
      </c>
      <c r="F806" s="1" t="s">
        <v>1592</v>
      </c>
      <c r="G806" s="2">
        <v>0</v>
      </c>
      <c r="H806" s="3">
        <v>0</v>
      </c>
      <c r="I806" s="4">
        <v>0</v>
      </c>
      <c r="J806" s="1" t="s">
        <v>1558</v>
      </c>
    </row>
    <row r="807" spans="1:10" ht="48">
      <c r="A807" s="1">
        <v>2023</v>
      </c>
      <c r="B807" s="1" t="s">
        <v>9</v>
      </c>
      <c r="C807" s="1" t="s">
        <v>92</v>
      </c>
      <c r="D807" s="1" t="s">
        <v>1583</v>
      </c>
      <c r="E807" s="1" t="s">
        <v>1163</v>
      </c>
      <c r="F807" s="1" t="s">
        <v>322</v>
      </c>
      <c r="G807" s="2">
        <v>20</v>
      </c>
      <c r="H807" s="2">
        <f t="shared" ref="H807:H808" si="268">0+5+5</f>
        <v>10</v>
      </c>
      <c r="I807" s="2">
        <f>17+14+6</f>
        <v>37</v>
      </c>
      <c r="J807" s="1" t="s">
        <v>1558</v>
      </c>
    </row>
    <row r="808" spans="1:10" ht="48">
      <c r="A808" s="1">
        <v>2023</v>
      </c>
      <c r="B808" s="1" t="s">
        <v>9</v>
      </c>
      <c r="C808" s="1" t="s">
        <v>92</v>
      </c>
      <c r="D808" s="1" t="s">
        <v>1583</v>
      </c>
      <c r="E808" s="1" t="s">
        <v>1593</v>
      </c>
      <c r="F808" s="1" t="s">
        <v>1594</v>
      </c>
      <c r="G808" s="2">
        <v>20</v>
      </c>
      <c r="H808" s="2">
        <f t="shared" si="268"/>
        <v>10</v>
      </c>
      <c r="I808" s="2">
        <f>7+8+7</f>
        <v>22</v>
      </c>
      <c r="J808" s="1" t="s">
        <v>1558</v>
      </c>
    </row>
    <row r="809" spans="1:10" ht="48">
      <c r="A809" s="1">
        <v>2023</v>
      </c>
      <c r="B809" s="1" t="s">
        <v>9</v>
      </c>
      <c r="C809" s="1" t="s">
        <v>92</v>
      </c>
      <c r="D809" s="1" t="s">
        <v>1583</v>
      </c>
      <c r="E809" s="1" t="s">
        <v>1595</v>
      </c>
      <c r="F809" s="1" t="s">
        <v>1596</v>
      </c>
      <c r="G809" s="2">
        <v>20</v>
      </c>
      <c r="H809" s="2">
        <v>0</v>
      </c>
      <c r="I809" s="2">
        <v>0</v>
      </c>
      <c r="J809" s="1" t="s">
        <v>1558</v>
      </c>
    </row>
    <row r="810" spans="1:10" ht="48">
      <c r="A810" s="1">
        <v>2023</v>
      </c>
      <c r="B810" s="1" t="s">
        <v>9</v>
      </c>
      <c r="C810" s="1" t="s">
        <v>92</v>
      </c>
      <c r="D810" s="1" t="s">
        <v>1583</v>
      </c>
      <c r="E810" s="1" t="s">
        <v>1597</v>
      </c>
      <c r="F810" s="1" t="s">
        <v>1598</v>
      </c>
      <c r="G810" s="2">
        <v>25</v>
      </c>
      <c r="H810" s="2">
        <v>0</v>
      </c>
      <c r="I810" s="2">
        <v>0</v>
      </c>
      <c r="J810" s="1" t="s">
        <v>1558</v>
      </c>
    </row>
    <row r="811" spans="1:10" ht="48">
      <c r="A811" s="1">
        <v>2023</v>
      </c>
      <c r="B811" s="1" t="s">
        <v>9</v>
      </c>
      <c r="C811" s="1" t="s">
        <v>92</v>
      </c>
      <c r="D811" s="1" t="s">
        <v>1599</v>
      </c>
      <c r="E811" s="1" t="s">
        <v>1600</v>
      </c>
      <c r="F811" s="1" t="s">
        <v>1601</v>
      </c>
      <c r="G811" s="2">
        <v>0</v>
      </c>
      <c r="H811" s="4">
        <v>1</v>
      </c>
      <c r="I811" s="4">
        <v>1</v>
      </c>
      <c r="J811" s="1" t="s">
        <v>1602</v>
      </c>
    </row>
    <row r="812" spans="1:10" ht="48">
      <c r="A812" s="1">
        <v>2023</v>
      </c>
      <c r="B812" s="1" t="s">
        <v>9</v>
      </c>
      <c r="C812" s="1" t="s">
        <v>92</v>
      </c>
      <c r="D812" s="1" t="s">
        <v>1599</v>
      </c>
      <c r="E812" s="1" t="s">
        <v>1603</v>
      </c>
      <c r="F812" s="1" t="s">
        <v>1604</v>
      </c>
      <c r="G812" s="2">
        <v>0</v>
      </c>
      <c r="H812" s="4">
        <v>1</v>
      </c>
      <c r="I812" s="4">
        <v>1</v>
      </c>
      <c r="J812" s="1" t="s">
        <v>1602</v>
      </c>
    </row>
    <row r="813" spans="1:10" ht="48">
      <c r="A813" s="1">
        <v>2023</v>
      </c>
      <c r="B813" s="1" t="s">
        <v>9</v>
      </c>
      <c r="C813" s="1" t="s">
        <v>92</v>
      </c>
      <c r="D813" s="1" t="s">
        <v>1599</v>
      </c>
      <c r="E813" s="1" t="s">
        <v>1605</v>
      </c>
      <c r="F813" s="1" t="s">
        <v>1606</v>
      </c>
      <c r="G813" s="11">
        <v>0</v>
      </c>
      <c r="H813" s="12">
        <v>0.371</v>
      </c>
      <c r="I813" s="3">
        <v>0.26</v>
      </c>
      <c r="J813" s="1" t="s">
        <v>1602</v>
      </c>
    </row>
    <row r="814" spans="1:10" ht="84">
      <c r="A814" s="1">
        <v>2023</v>
      </c>
      <c r="B814" s="1" t="s">
        <v>9</v>
      </c>
      <c r="C814" s="1" t="s">
        <v>92</v>
      </c>
      <c r="D814" s="1" t="s">
        <v>1599</v>
      </c>
      <c r="E814" s="1" t="s">
        <v>1607</v>
      </c>
      <c r="F814" s="1" t="s">
        <v>1608</v>
      </c>
      <c r="G814" s="2">
        <v>0</v>
      </c>
      <c r="H814" s="12">
        <v>0.35699999999999998</v>
      </c>
      <c r="I814" s="12">
        <v>0.2</v>
      </c>
      <c r="J814" s="1" t="s">
        <v>1602</v>
      </c>
    </row>
    <row r="815" spans="1:10" ht="84">
      <c r="A815" s="1">
        <v>2023</v>
      </c>
      <c r="B815" s="1" t="s">
        <v>9</v>
      </c>
      <c r="C815" s="1" t="s">
        <v>92</v>
      </c>
      <c r="D815" s="1" t="s">
        <v>1599</v>
      </c>
      <c r="E815" s="1" t="s">
        <v>1609</v>
      </c>
      <c r="F815" s="1" t="s">
        <v>1610</v>
      </c>
      <c r="G815" s="11">
        <v>0</v>
      </c>
      <c r="H815" s="12">
        <v>0.26200000000000001</v>
      </c>
      <c r="I815" s="3">
        <v>0.03</v>
      </c>
      <c r="J815" s="1" t="s">
        <v>1602</v>
      </c>
    </row>
    <row r="816" spans="1:10" ht="48">
      <c r="A816" s="1">
        <v>2023</v>
      </c>
      <c r="B816" s="1" t="s">
        <v>9</v>
      </c>
      <c r="C816" s="1" t="s">
        <v>92</v>
      </c>
      <c r="D816" s="1" t="s">
        <v>1599</v>
      </c>
      <c r="E816" s="1" t="s">
        <v>1611</v>
      </c>
      <c r="F816" s="1" t="s">
        <v>1612</v>
      </c>
      <c r="G816" s="2">
        <v>0</v>
      </c>
      <c r="H816" s="4">
        <v>0.6</v>
      </c>
      <c r="I816" s="3">
        <v>0.22</v>
      </c>
      <c r="J816" s="1" t="s">
        <v>1602</v>
      </c>
    </row>
    <row r="817" spans="1:10" ht="48">
      <c r="A817" s="1">
        <v>2023</v>
      </c>
      <c r="B817" s="1" t="s">
        <v>9</v>
      </c>
      <c r="C817" s="1" t="s">
        <v>92</v>
      </c>
      <c r="D817" s="1" t="s">
        <v>1599</v>
      </c>
      <c r="E817" s="1" t="s">
        <v>1613</v>
      </c>
      <c r="F817" s="1" t="s">
        <v>1614</v>
      </c>
      <c r="G817" s="2">
        <v>0</v>
      </c>
      <c r="H817" s="4">
        <v>0.42</v>
      </c>
      <c r="I817" s="3">
        <v>0.22</v>
      </c>
      <c r="J817" s="1" t="s">
        <v>1602</v>
      </c>
    </row>
    <row r="818" spans="1:10" ht="48">
      <c r="A818" s="1">
        <v>2023</v>
      </c>
      <c r="B818" s="1" t="s">
        <v>9</v>
      </c>
      <c r="C818" s="1" t="s">
        <v>92</v>
      </c>
      <c r="D818" s="1" t="s">
        <v>1599</v>
      </c>
      <c r="E818" s="1" t="s">
        <v>1615</v>
      </c>
      <c r="F818" s="1" t="s">
        <v>1616</v>
      </c>
      <c r="G818" s="2">
        <v>0</v>
      </c>
      <c r="H818" s="4">
        <v>0.5524</v>
      </c>
      <c r="I818" s="3">
        <v>0.25</v>
      </c>
      <c r="J818" s="1" t="s">
        <v>1602</v>
      </c>
    </row>
    <row r="819" spans="1:10" ht="48">
      <c r="A819" s="1">
        <v>2023</v>
      </c>
      <c r="B819" s="1" t="s">
        <v>9</v>
      </c>
      <c r="C819" s="1" t="s">
        <v>92</v>
      </c>
      <c r="D819" s="1" t="s">
        <v>1599</v>
      </c>
      <c r="E819" s="1" t="s">
        <v>1617</v>
      </c>
      <c r="F819" s="1" t="s">
        <v>1618</v>
      </c>
      <c r="G819" s="2">
        <v>0</v>
      </c>
      <c r="H819" s="4">
        <v>0.09</v>
      </c>
      <c r="I819" s="3">
        <v>0.67</v>
      </c>
      <c r="J819" s="1" t="s">
        <v>1602</v>
      </c>
    </row>
    <row r="820" spans="1:10" ht="72">
      <c r="A820" s="1">
        <v>2023</v>
      </c>
      <c r="B820" s="1" t="s">
        <v>9</v>
      </c>
      <c r="C820" s="1" t="s">
        <v>92</v>
      </c>
      <c r="D820" s="1" t="s">
        <v>1599</v>
      </c>
      <c r="E820" s="1" t="s">
        <v>1619</v>
      </c>
      <c r="F820" s="1" t="s">
        <v>1620</v>
      </c>
      <c r="G820" s="2">
        <v>0</v>
      </c>
      <c r="H820" s="12">
        <v>9.6000000000000002E-2</v>
      </c>
      <c r="I820" s="3">
        <v>0.45</v>
      </c>
      <c r="J820" s="1" t="s">
        <v>1602</v>
      </c>
    </row>
    <row r="821" spans="1:10" ht="72">
      <c r="A821" s="1">
        <v>2023</v>
      </c>
      <c r="B821" s="1" t="s">
        <v>9</v>
      </c>
      <c r="C821" s="1" t="s">
        <v>92</v>
      </c>
      <c r="D821" s="1" t="s">
        <v>1599</v>
      </c>
      <c r="E821" s="1" t="s">
        <v>1621</v>
      </c>
      <c r="F821" s="1" t="s">
        <v>1622</v>
      </c>
      <c r="G821" s="2">
        <v>0</v>
      </c>
      <c r="H821" s="12">
        <v>0.152</v>
      </c>
      <c r="I821" s="3">
        <v>0.28000000000000003</v>
      </c>
      <c r="J821" s="1" t="s">
        <v>1602</v>
      </c>
    </row>
    <row r="822" spans="1:10" ht="48">
      <c r="A822" s="1">
        <v>2023</v>
      </c>
      <c r="B822" s="1" t="s">
        <v>9</v>
      </c>
      <c r="C822" s="1" t="s">
        <v>92</v>
      </c>
      <c r="D822" s="1" t="s">
        <v>1599</v>
      </c>
      <c r="E822" s="1" t="s">
        <v>1623</v>
      </c>
      <c r="F822" s="1" t="s">
        <v>1624</v>
      </c>
      <c r="G822" s="2">
        <v>36</v>
      </c>
      <c r="H822" s="2">
        <f>4+4+2</f>
        <v>10</v>
      </c>
      <c r="I822" s="2">
        <f>4+3+2</f>
        <v>9</v>
      </c>
      <c r="J822" s="1" t="s">
        <v>1602</v>
      </c>
    </row>
    <row r="823" spans="1:10" ht="72">
      <c r="A823" s="1">
        <v>2023</v>
      </c>
      <c r="B823" s="1" t="s">
        <v>9</v>
      </c>
      <c r="C823" s="1" t="s">
        <v>92</v>
      </c>
      <c r="D823" s="1" t="s">
        <v>1599</v>
      </c>
      <c r="E823" s="1" t="s">
        <v>1625</v>
      </c>
      <c r="F823" s="1" t="s">
        <v>1626</v>
      </c>
      <c r="G823" s="2">
        <v>600</v>
      </c>
      <c r="H823" s="2">
        <f>100+100+100</f>
        <v>300</v>
      </c>
      <c r="I823" s="2">
        <f>144+81+80</f>
        <v>305</v>
      </c>
      <c r="J823" s="1" t="s">
        <v>1602</v>
      </c>
    </row>
    <row r="824" spans="1:10" ht="48">
      <c r="A824" s="1">
        <v>2023</v>
      </c>
      <c r="B824" s="1" t="s">
        <v>9</v>
      </c>
      <c r="C824" s="1" t="s">
        <v>92</v>
      </c>
      <c r="D824" s="1" t="s">
        <v>1599</v>
      </c>
      <c r="E824" s="1" t="s">
        <v>1627</v>
      </c>
      <c r="F824" s="1" t="s">
        <v>1628</v>
      </c>
      <c r="G824" s="2">
        <v>400</v>
      </c>
      <c r="H824" s="2">
        <f>40+40+25</f>
        <v>105</v>
      </c>
      <c r="I824" s="2">
        <f>42+30+22</f>
        <v>94</v>
      </c>
      <c r="J824" s="1" t="s">
        <v>1602</v>
      </c>
    </row>
    <row r="825" spans="1:10" ht="48">
      <c r="A825" s="1">
        <v>2023</v>
      </c>
      <c r="B825" s="1" t="s">
        <v>9</v>
      </c>
      <c r="C825" s="1" t="s">
        <v>92</v>
      </c>
      <c r="D825" s="1" t="s">
        <v>1599</v>
      </c>
      <c r="E825" s="1" t="s">
        <v>1629</v>
      </c>
      <c r="F825" s="1" t="s">
        <v>1626</v>
      </c>
      <c r="G825" s="2">
        <v>90</v>
      </c>
      <c r="H825" s="2">
        <f>28+28+12</f>
        <v>68</v>
      </c>
      <c r="I825" s="2">
        <f>24+15+8</f>
        <v>47</v>
      </c>
      <c r="J825" s="1" t="s">
        <v>1602</v>
      </c>
    </row>
    <row r="826" spans="1:10" ht="48">
      <c r="A826" s="1">
        <v>2023</v>
      </c>
      <c r="B826" s="1" t="s">
        <v>9</v>
      </c>
      <c r="C826" s="1" t="s">
        <v>92</v>
      </c>
      <c r="D826" s="1" t="s">
        <v>1599</v>
      </c>
      <c r="E826" s="1" t="s">
        <v>1630</v>
      </c>
      <c r="F826" s="1" t="s">
        <v>1631</v>
      </c>
      <c r="G826" s="2">
        <v>36</v>
      </c>
      <c r="H826" s="2">
        <f>4+2+1</f>
        <v>7</v>
      </c>
      <c r="I826" s="2">
        <f t="shared" ref="I826:I827" si="269">10+8+5</f>
        <v>23</v>
      </c>
      <c r="J826" s="1" t="s">
        <v>1602</v>
      </c>
    </row>
    <row r="827" spans="1:10" ht="48">
      <c r="A827" s="1">
        <v>2023</v>
      </c>
      <c r="B827" s="1" t="s">
        <v>9</v>
      </c>
      <c r="C827" s="1" t="s">
        <v>92</v>
      </c>
      <c r="D827" s="1" t="s">
        <v>1599</v>
      </c>
      <c r="E827" s="1" t="s">
        <v>1632</v>
      </c>
      <c r="F827" s="1" t="s">
        <v>1633</v>
      </c>
      <c r="G827" s="2">
        <v>36</v>
      </c>
      <c r="H827" s="2">
        <f>3+3+1</f>
        <v>7</v>
      </c>
      <c r="I827" s="2">
        <f t="shared" si="269"/>
        <v>23</v>
      </c>
      <c r="J827" s="1" t="s">
        <v>1602</v>
      </c>
    </row>
    <row r="828" spans="1:10" ht="48">
      <c r="A828" s="1">
        <v>2023</v>
      </c>
      <c r="B828" s="1" t="s">
        <v>9</v>
      </c>
      <c r="C828" s="1" t="s">
        <v>92</v>
      </c>
      <c r="D828" s="1" t="s">
        <v>1634</v>
      </c>
      <c r="E828" s="1" t="s">
        <v>1635</v>
      </c>
      <c r="F828" s="1" t="s">
        <v>1604</v>
      </c>
      <c r="G828" s="2">
        <v>0</v>
      </c>
      <c r="H828" s="4">
        <v>1</v>
      </c>
      <c r="I828" s="4">
        <v>1</v>
      </c>
      <c r="J828" s="1" t="s">
        <v>1602</v>
      </c>
    </row>
    <row r="829" spans="1:10" ht="48">
      <c r="A829" s="1">
        <v>2023</v>
      </c>
      <c r="B829" s="1" t="s">
        <v>9</v>
      </c>
      <c r="C829" s="1" t="s">
        <v>92</v>
      </c>
      <c r="D829" s="1" t="s">
        <v>1634</v>
      </c>
      <c r="E829" s="1" t="s">
        <v>1636</v>
      </c>
      <c r="F829" s="1" t="s">
        <v>1636</v>
      </c>
      <c r="G829" s="2">
        <v>0</v>
      </c>
      <c r="H829" s="4">
        <v>1</v>
      </c>
      <c r="I829" s="4">
        <v>1</v>
      </c>
      <c r="J829" s="1" t="s">
        <v>1602</v>
      </c>
    </row>
    <row r="830" spans="1:10" ht="48">
      <c r="A830" s="1">
        <v>2023</v>
      </c>
      <c r="B830" s="1" t="s">
        <v>9</v>
      </c>
      <c r="C830" s="1" t="s">
        <v>92</v>
      </c>
      <c r="D830" s="1" t="s">
        <v>1634</v>
      </c>
      <c r="E830" s="1" t="s">
        <v>1637</v>
      </c>
      <c r="F830" s="1" t="s">
        <v>1612</v>
      </c>
      <c r="G830" s="2">
        <v>0</v>
      </c>
      <c r="H830" s="4">
        <v>0.26319999999999999</v>
      </c>
      <c r="I830" s="3">
        <v>0.38</v>
      </c>
      <c r="J830" s="1" t="s">
        <v>1602</v>
      </c>
    </row>
    <row r="831" spans="1:10" ht="48">
      <c r="A831" s="1">
        <v>2023</v>
      </c>
      <c r="B831" s="1" t="s">
        <v>9</v>
      </c>
      <c r="C831" s="1" t="s">
        <v>92</v>
      </c>
      <c r="D831" s="1" t="s">
        <v>1634</v>
      </c>
      <c r="E831" s="1" t="s">
        <v>1638</v>
      </c>
      <c r="F831" s="1" t="s">
        <v>1614</v>
      </c>
      <c r="G831" s="2">
        <v>0</v>
      </c>
      <c r="H831" s="3">
        <v>0.25</v>
      </c>
      <c r="I831" s="3">
        <v>0.39</v>
      </c>
      <c r="J831" s="1" t="s">
        <v>1602</v>
      </c>
    </row>
    <row r="832" spans="1:10" ht="48">
      <c r="A832" s="1">
        <v>2023</v>
      </c>
      <c r="B832" s="1" t="s">
        <v>9</v>
      </c>
      <c r="C832" s="1" t="s">
        <v>92</v>
      </c>
      <c r="D832" s="1" t="s">
        <v>1634</v>
      </c>
      <c r="E832" s="1" t="s">
        <v>1639</v>
      </c>
      <c r="F832" s="1" t="s">
        <v>1640</v>
      </c>
      <c r="G832" s="2">
        <v>0</v>
      </c>
      <c r="H832" s="12">
        <v>0.26100000000000001</v>
      </c>
      <c r="I832" s="3">
        <v>0.28000000000000003</v>
      </c>
      <c r="J832" s="1" t="s">
        <v>1602</v>
      </c>
    </row>
    <row r="833" spans="1:10" ht="60">
      <c r="A833" s="1">
        <v>2023</v>
      </c>
      <c r="B833" s="1" t="s">
        <v>9</v>
      </c>
      <c r="C833" s="1" t="s">
        <v>92</v>
      </c>
      <c r="D833" s="1" t="s">
        <v>1634</v>
      </c>
      <c r="E833" s="1" t="s">
        <v>1641</v>
      </c>
      <c r="F833" s="1" t="s">
        <v>825</v>
      </c>
      <c r="G833" s="2">
        <v>0</v>
      </c>
      <c r="H833" s="4">
        <v>0.1363</v>
      </c>
      <c r="I833" s="4">
        <v>0.32</v>
      </c>
      <c r="J833" s="1" t="s">
        <v>1602</v>
      </c>
    </row>
    <row r="834" spans="1:10" ht="96">
      <c r="A834" s="1">
        <v>2023</v>
      </c>
      <c r="B834" s="1" t="s">
        <v>9</v>
      </c>
      <c r="C834" s="1" t="s">
        <v>92</v>
      </c>
      <c r="D834" s="1" t="s">
        <v>1634</v>
      </c>
      <c r="E834" s="1" t="s">
        <v>1642</v>
      </c>
      <c r="F834" s="1" t="s">
        <v>1622</v>
      </c>
      <c r="G834" s="2">
        <v>0</v>
      </c>
      <c r="H834" s="4">
        <v>0.1363</v>
      </c>
      <c r="I834" s="4">
        <v>0.24</v>
      </c>
      <c r="J834" s="1" t="s">
        <v>1602</v>
      </c>
    </row>
    <row r="835" spans="1:10" ht="48">
      <c r="A835" s="1">
        <v>2023</v>
      </c>
      <c r="B835" s="1" t="s">
        <v>9</v>
      </c>
      <c r="C835" s="1" t="s">
        <v>92</v>
      </c>
      <c r="D835" s="1" t="s">
        <v>1634</v>
      </c>
      <c r="E835" s="1" t="s">
        <v>1643</v>
      </c>
      <c r="F835" s="1" t="s">
        <v>1644</v>
      </c>
      <c r="G835" s="2">
        <v>400</v>
      </c>
      <c r="H835" s="2">
        <f t="shared" ref="H835:H836" si="270">45+45+25</f>
        <v>115</v>
      </c>
      <c r="I835" s="2">
        <f t="shared" ref="I835:I836" si="271">70+50+25</f>
        <v>145</v>
      </c>
      <c r="J835" s="1" t="s">
        <v>1602</v>
      </c>
    </row>
    <row r="836" spans="1:10" ht="48">
      <c r="A836" s="1">
        <v>2023</v>
      </c>
      <c r="B836" s="1" t="s">
        <v>9</v>
      </c>
      <c r="C836" s="1" t="s">
        <v>92</v>
      </c>
      <c r="D836" s="1" t="s">
        <v>1634</v>
      </c>
      <c r="E836" s="1" t="s">
        <v>1645</v>
      </c>
      <c r="F836" s="1" t="s">
        <v>1644</v>
      </c>
      <c r="G836" s="2">
        <v>400</v>
      </c>
      <c r="H836" s="2">
        <f t="shared" si="270"/>
        <v>115</v>
      </c>
      <c r="I836" s="2">
        <f t="shared" si="271"/>
        <v>145</v>
      </c>
      <c r="J836" s="1" t="s">
        <v>1602</v>
      </c>
    </row>
    <row r="837" spans="1:10" ht="72">
      <c r="A837" s="1">
        <v>2023</v>
      </c>
      <c r="B837" s="1" t="s">
        <v>9</v>
      </c>
      <c r="C837" s="1" t="s">
        <v>92</v>
      </c>
      <c r="D837" s="1" t="s">
        <v>1634</v>
      </c>
      <c r="E837" s="1" t="s">
        <v>1646</v>
      </c>
      <c r="F837" s="1" t="s">
        <v>1647</v>
      </c>
      <c r="G837" s="2">
        <v>10</v>
      </c>
      <c r="H837" s="2">
        <f t="shared" ref="H837:H838" si="272">1+1+1</f>
        <v>3</v>
      </c>
      <c r="I837" s="2">
        <f t="shared" ref="I837:I838" si="273">4+3+1</f>
        <v>8</v>
      </c>
      <c r="J837" s="1" t="s">
        <v>1602</v>
      </c>
    </row>
    <row r="838" spans="1:10" ht="72">
      <c r="A838" s="1">
        <v>2023</v>
      </c>
      <c r="B838" s="1" t="s">
        <v>9</v>
      </c>
      <c r="C838" s="1" t="s">
        <v>92</v>
      </c>
      <c r="D838" s="1" t="s">
        <v>1634</v>
      </c>
      <c r="E838" s="1" t="s">
        <v>1648</v>
      </c>
      <c r="F838" s="1" t="s">
        <v>1633</v>
      </c>
      <c r="G838" s="2">
        <v>10</v>
      </c>
      <c r="H838" s="2">
        <f t="shared" si="272"/>
        <v>3</v>
      </c>
      <c r="I838" s="2">
        <f t="shared" si="273"/>
        <v>8</v>
      </c>
      <c r="J838" s="1" t="s">
        <v>1602</v>
      </c>
    </row>
    <row r="839" spans="1:10" ht="48">
      <c r="A839" s="1">
        <v>2023</v>
      </c>
      <c r="B839" s="1" t="s">
        <v>9</v>
      </c>
      <c r="C839" s="1" t="s">
        <v>92</v>
      </c>
      <c r="D839" s="1" t="s">
        <v>1649</v>
      </c>
      <c r="E839" s="1" t="s">
        <v>1650</v>
      </c>
      <c r="F839" s="1" t="s">
        <v>1651</v>
      </c>
      <c r="G839" s="2">
        <v>0</v>
      </c>
      <c r="H839" s="4">
        <v>1</v>
      </c>
      <c r="I839" s="4">
        <v>1</v>
      </c>
      <c r="J839" s="1" t="s">
        <v>1602</v>
      </c>
    </row>
    <row r="840" spans="1:10" ht="48">
      <c r="A840" s="1">
        <v>2023</v>
      </c>
      <c r="B840" s="1" t="s">
        <v>9</v>
      </c>
      <c r="C840" s="1" t="s">
        <v>92</v>
      </c>
      <c r="D840" s="1" t="s">
        <v>1649</v>
      </c>
      <c r="E840" s="1" t="s">
        <v>1652</v>
      </c>
      <c r="F840" s="1" t="s">
        <v>1651</v>
      </c>
      <c r="G840" s="2">
        <v>0</v>
      </c>
      <c r="H840" s="4">
        <v>1</v>
      </c>
      <c r="I840" s="4">
        <v>1</v>
      </c>
      <c r="J840" s="1" t="s">
        <v>1602</v>
      </c>
    </row>
    <row r="841" spans="1:10" ht="84">
      <c r="A841" s="1">
        <v>2023</v>
      </c>
      <c r="B841" s="1" t="s">
        <v>9</v>
      </c>
      <c r="C841" s="1" t="s">
        <v>92</v>
      </c>
      <c r="D841" s="1" t="s">
        <v>1649</v>
      </c>
      <c r="E841" s="1" t="s">
        <v>1653</v>
      </c>
      <c r="F841" s="1" t="s">
        <v>1622</v>
      </c>
      <c r="G841" s="3">
        <v>0</v>
      </c>
      <c r="H841" s="4">
        <v>0.53449999999999998</v>
      </c>
      <c r="I841" s="3">
        <v>0.25</v>
      </c>
      <c r="J841" s="1" t="s">
        <v>1602</v>
      </c>
    </row>
    <row r="842" spans="1:10" ht="48">
      <c r="A842" s="1">
        <v>2023</v>
      </c>
      <c r="B842" s="1" t="s">
        <v>9</v>
      </c>
      <c r="C842" s="1" t="s">
        <v>92</v>
      </c>
      <c r="D842" s="1" t="s">
        <v>1649</v>
      </c>
      <c r="E842" s="1" t="s">
        <v>1654</v>
      </c>
      <c r="F842" s="1" t="s">
        <v>1655</v>
      </c>
      <c r="G842" s="3">
        <v>0</v>
      </c>
      <c r="H842" s="4">
        <v>0.24990000000000001</v>
      </c>
      <c r="I842" s="12">
        <v>0.06</v>
      </c>
      <c r="J842" s="1" t="s">
        <v>1602</v>
      </c>
    </row>
    <row r="843" spans="1:10" ht="72">
      <c r="A843" s="1">
        <v>2023</v>
      </c>
      <c r="B843" s="1" t="s">
        <v>9</v>
      </c>
      <c r="C843" s="1" t="s">
        <v>92</v>
      </c>
      <c r="D843" s="1" t="s">
        <v>1649</v>
      </c>
      <c r="E843" s="1" t="s">
        <v>1656</v>
      </c>
      <c r="F843" s="1" t="s">
        <v>1651</v>
      </c>
      <c r="G843" s="3">
        <v>0</v>
      </c>
      <c r="H843" s="3">
        <v>1</v>
      </c>
      <c r="I843" s="3">
        <v>1</v>
      </c>
      <c r="J843" s="1" t="s">
        <v>1602</v>
      </c>
    </row>
    <row r="844" spans="1:10" ht="60">
      <c r="A844" s="1">
        <v>2023</v>
      </c>
      <c r="B844" s="1" t="s">
        <v>9</v>
      </c>
      <c r="C844" s="1" t="s">
        <v>92</v>
      </c>
      <c r="D844" s="1" t="s">
        <v>1649</v>
      </c>
      <c r="E844" s="1" t="s">
        <v>1657</v>
      </c>
      <c r="F844" s="1" t="s">
        <v>1622</v>
      </c>
      <c r="G844" s="3">
        <v>0</v>
      </c>
      <c r="H844" s="3">
        <v>0</v>
      </c>
      <c r="I844" s="3">
        <v>0.99</v>
      </c>
      <c r="J844" s="1" t="s">
        <v>1602</v>
      </c>
    </row>
    <row r="845" spans="1:10" ht="48">
      <c r="A845" s="1">
        <v>2023</v>
      </c>
      <c r="B845" s="1" t="s">
        <v>9</v>
      </c>
      <c r="C845" s="1" t="s">
        <v>92</v>
      </c>
      <c r="D845" s="1" t="s">
        <v>1649</v>
      </c>
      <c r="E845" s="1" t="s">
        <v>1658</v>
      </c>
      <c r="F845" s="1" t="s">
        <v>1659</v>
      </c>
      <c r="G845" s="3">
        <v>0</v>
      </c>
      <c r="H845" s="4">
        <v>0.19040000000000001</v>
      </c>
      <c r="I845" s="12">
        <v>9.1399999999999995E-2</v>
      </c>
      <c r="J845" s="1" t="s">
        <v>1602</v>
      </c>
    </row>
    <row r="846" spans="1:10" ht="60">
      <c r="A846" s="1">
        <v>2023</v>
      </c>
      <c r="B846" s="1" t="s">
        <v>9</v>
      </c>
      <c r="C846" s="1" t="s">
        <v>92</v>
      </c>
      <c r="D846" s="1" t="s">
        <v>1649</v>
      </c>
      <c r="E846" s="1" t="s">
        <v>1660</v>
      </c>
      <c r="F846" s="1" t="s">
        <v>1661</v>
      </c>
      <c r="G846" s="2">
        <v>150</v>
      </c>
      <c r="H846" s="2">
        <f t="shared" ref="H846:H847" si="274">90+90+65</f>
        <v>245</v>
      </c>
      <c r="I846" s="2">
        <v>87</v>
      </c>
      <c r="J846" s="1" t="s">
        <v>1602</v>
      </c>
    </row>
    <row r="847" spans="1:10" ht="72">
      <c r="A847" s="1">
        <v>2023</v>
      </c>
      <c r="B847" s="1" t="s">
        <v>9</v>
      </c>
      <c r="C847" s="1" t="s">
        <v>92</v>
      </c>
      <c r="D847" s="1" t="s">
        <v>1649</v>
      </c>
      <c r="E847" s="1" t="s">
        <v>1662</v>
      </c>
      <c r="F847" s="1" t="s">
        <v>1661</v>
      </c>
      <c r="G847" s="2">
        <v>150</v>
      </c>
      <c r="H847" s="2">
        <f t="shared" si="274"/>
        <v>245</v>
      </c>
      <c r="I847" s="2">
        <v>87</v>
      </c>
      <c r="J847" s="1" t="s">
        <v>1602</v>
      </c>
    </row>
    <row r="848" spans="1:10" ht="72">
      <c r="A848" s="1">
        <v>2023</v>
      </c>
      <c r="B848" s="1" t="s">
        <v>9</v>
      </c>
      <c r="C848" s="1" t="s">
        <v>92</v>
      </c>
      <c r="D848" s="1" t="s">
        <v>1649</v>
      </c>
      <c r="E848" s="1" t="s">
        <v>1663</v>
      </c>
      <c r="F848" s="1" t="s">
        <v>1661</v>
      </c>
      <c r="G848" s="2">
        <v>150</v>
      </c>
      <c r="H848" s="2">
        <f>25+25+10</f>
        <v>60</v>
      </c>
      <c r="I848" s="2">
        <f>10+10+9</f>
        <v>29</v>
      </c>
      <c r="J848" s="1" t="s">
        <v>1602</v>
      </c>
    </row>
    <row r="849" spans="1:10" ht="60">
      <c r="A849" s="1">
        <v>2023</v>
      </c>
      <c r="B849" s="1" t="s">
        <v>9</v>
      </c>
      <c r="C849" s="1" t="s">
        <v>92</v>
      </c>
      <c r="D849" s="1" t="s">
        <v>1649</v>
      </c>
      <c r="E849" s="1" t="s">
        <v>1664</v>
      </c>
      <c r="F849" s="1" t="s">
        <v>1665</v>
      </c>
      <c r="G849" s="2">
        <v>7</v>
      </c>
      <c r="H849" s="2">
        <v>7</v>
      </c>
      <c r="I849" s="2">
        <v>7</v>
      </c>
      <c r="J849" s="1" t="s">
        <v>1602</v>
      </c>
    </row>
    <row r="850" spans="1:10" ht="72">
      <c r="A850" s="1">
        <v>2023</v>
      </c>
      <c r="B850" s="1" t="s">
        <v>9</v>
      </c>
      <c r="C850" s="1" t="s">
        <v>92</v>
      </c>
      <c r="D850" s="1" t="s">
        <v>1649</v>
      </c>
      <c r="E850" s="1" t="s">
        <v>1666</v>
      </c>
      <c r="F850" s="1" t="s">
        <v>1667</v>
      </c>
      <c r="G850" s="2">
        <v>30</v>
      </c>
      <c r="H850" s="2">
        <f>5+5+0</f>
        <v>10</v>
      </c>
      <c r="I850" s="2">
        <f>30+20+0</f>
        <v>50</v>
      </c>
      <c r="J850" s="1" t="s">
        <v>1602</v>
      </c>
    </row>
    <row r="851" spans="1:10" ht="48">
      <c r="A851" s="1">
        <v>2023</v>
      </c>
      <c r="B851" s="1" t="s">
        <v>9</v>
      </c>
      <c r="C851" s="1" t="s">
        <v>92</v>
      </c>
      <c r="D851" s="1" t="s">
        <v>1668</v>
      </c>
      <c r="E851" s="1" t="s">
        <v>1669</v>
      </c>
      <c r="F851" s="1" t="s">
        <v>1670</v>
      </c>
      <c r="G851" s="2">
        <v>0</v>
      </c>
      <c r="H851" s="2">
        <f t="shared" ref="H851:H852" si="275">0+0+565</f>
        <v>565</v>
      </c>
      <c r="I851" s="2">
        <f t="shared" ref="I851:I852" si="276">0+0+0</f>
        <v>0</v>
      </c>
      <c r="J851" s="1" t="s">
        <v>1671</v>
      </c>
    </row>
    <row r="852" spans="1:10" ht="48">
      <c r="A852" s="1">
        <v>2023</v>
      </c>
      <c r="B852" s="1" t="s">
        <v>9</v>
      </c>
      <c r="C852" s="1" t="s">
        <v>92</v>
      </c>
      <c r="D852" s="1" t="s">
        <v>1668</v>
      </c>
      <c r="E852" s="1" t="s">
        <v>1672</v>
      </c>
      <c r="F852" s="1" t="s">
        <v>1673</v>
      </c>
      <c r="G852" s="2">
        <v>0</v>
      </c>
      <c r="H852" s="2">
        <f t="shared" si="275"/>
        <v>565</v>
      </c>
      <c r="I852" s="2">
        <f t="shared" si="276"/>
        <v>0</v>
      </c>
      <c r="J852" s="1" t="s">
        <v>1671</v>
      </c>
    </row>
    <row r="853" spans="1:10" ht="48">
      <c r="A853" s="1">
        <v>2023</v>
      </c>
      <c r="B853" s="1" t="s">
        <v>9</v>
      </c>
      <c r="C853" s="1" t="s">
        <v>92</v>
      </c>
      <c r="D853" s="1" t="s">
        <v>1668</v>
      </c>
      <c r="E853" s="1" t="s">
        <v>1674</v>
      </c>
      <c r="F853" s="1" t="s">
        <v>1675</v>
      </c>
      <c r="G853" s="2">
        <v>352</v>
      </c>
      <c r="H853" s="2">
        <f>30+25+15</f>
        <v>70</v>
      </c>
      <c r="I853" s="2">
        <f>15+18+10</f>
        <v>43</v>
      </c>
      <c r="J853" s="1" t="s">
        <v>1671</v>
      </c>
    </row>
    <row r="854" spans="1:10" ht="48">
      <c r="A854" s="1">
        <v>2023</v>
      </c>
      <c r="B854" s="1" t="s">
        <v>9</v>
      </c>
      <c r="C854" s="1" t="s">
        <v>92</v>
      </c>
      <c r="D854" s="1" t="s">
        <v>1668</v>
      </c>
      <c r="E854" s="1" t="s">
        <v>1676</v>
      </c>
      <c r="F854" s="1" t="s">
        <v>1677</v>
      </c>
      <c r="G854" s="2">
        <v>200</v>
      </c>
      <c r="H854" s="2">
        <f>15+20+15</f>
        <v>50</v>
      </c>
      <c r="I854" s="2">
        <f>17+22+10</f>
        <v>49</v>
      </c>
      <c r="J854" s="1" t="s">
        <v>1671</v>
      </c>
    </row>
    <row r="855" spans="1:10" ht="48">
      <c r="A855" s="1">
        <v>2023</v>
      </c>
      <c r="B855" s="1" t="s">
        <v>9</v>
      </c>
      <c r="C855" s="1" t="s">
        <v>92</v>
      </c>
      <c r="D855" s="1" t="s">
        <v>1668</v>
      </c>
      <c r="E855" s="1" t="s">
        <v>1678</v>
      </c>
      <c r="F855" s="1" t="s">
        <v>1679</v>
      </c>
      <c r="G855" s="2">
        <v>352</v>
      </c>
      <c r="H855" s="11">
        <f>33+28+19</f>
        <v>80</v>
      </c>
      <c r="I855" s="11">
        <f>15+18+10</f>
        <v>43</v>
      </c>
      <c r="J855" s="1" t="s">
        <v>1671</v>
      </c>
    </row>
    <row r="856" spans="1:10" ht="48">
      <c r="A856" s="1">
        <v>2023</v>
      </c>
      <c r="B856" s="1" t="s">
        <v>9</v>
      </c>
      <c r="C856" s="1" t="s">
        <v>92</v>
      </c>
      <c r="D856" s="1" t="s">
        <v>1668</v>
      </c>
      <c r="E856" s="1" t="s">
        <v>975</v>
      </c>
      <c r="F856" s="1" t="s">
        <v>152</v>
      </c>
      <c r="G856" s="11">
        <v>67</v>
      </c>
      <c r="H856" s="11">
        <f>7+8+6</f>
        <v>21</v>
      </c>
      <c r="I856" s="11">
        <f>10+15+5</f>
        <v>30</v>
      </c>
      <c r="J856" s="1" t="s">
        <v>1671</v>
      </c>
    </row>
    <row r="857" spans="1:10" ht="48">
      <c r="A857" s="1">
        <v>2023</v>
      </c>
      <c r="B857" s="1" t="s">
        <v>9</v>
      </c>
      <c r="C857" s="1" t="s">
        <v>92</v>
      </c>
      <c r="D857" s="1" t="s">
        <v>1668</v>
      </c>
      <c r="E857" s="1" t="s">
        <v>975</v>
      </c>
      <c r="F857" s="1" t="s">
        <v>152</v>
      </c>
      <c r="G857" s="11">
        <v>67</v>
      </c>
      <c r="H857" s="11">
        <f>3+9+6</f>
        <v>18</v>
      </c>
      <c r="I857" s="11">
        <f>5+6+4</f>
        <v>15</v>
      </c>
      <c r="J857" s="1" t="s">
        <v>1671</v>
      </c>
    </row>
    <row r="858" spans="1:10" ht="48">
      <c r="A858" s="1">
        <v>2023</v>
      </c>
      <c r="B858" s="1" t="s">
        <v>9</v>
      </c>
      <c r="C858" s="1" t="s">
        <v>92</v>
      </c>
      <c r="D858" s="1" t="s">
        <v>1668</v>
      </c>
      <c r="E858" s="1" t="s">
        <v>1680</v>
      </c>
      <c r="F858" s="1" t="s">
        <v>1681</v>
      </c>
      <c r="G858" s="11">
        <v>66</v>
      </c>
      <c r="H858" s="11">
        <f>5+3+3</f>
        <v>11</v>
      </c>
      <c r="I858" s="11">
        <f>2+1+1</f>
        <v>4</v>
      </c>
      <c r="J858" s="1" t="s">
        <v>1671</v>
      </c>
    </row>
    <row r="859" spans="1:10" ht="48">
      <c r="A859" s="1">
        <v>2023</v>
      </c>
      <c r="B859" s="1" t="s">
        <v>9</v>
      </c>
      <c r="C859" s="1" t="s">
        <v>92</v>
      </c>
      <c r="D859" s="1" t="s">
        <v>1682</v>
      </c>
      <c r="E859" s="1" t="s">
        <v>1683</v>
      </c>
      <c r="F859" s="1" t="s">
        <v>1684</v>
      </c>
      <c r="G859" s="2">
        <v>0</v>
      </c>
      <c r="H859" s="2">
        <f t="shared" ref="H859:H860" si="277">0+0+72</f>
        <v>72</v>
      </c>
      <c r="I859" s="2">
        <f t="shared" ref="I859:I860" si="278">0+0+0</f>
        <v>0</v>
      </c>
      <c r="J859" s="1" t="s">
        <v>1685</v>
      </c>
    </row>
    <row r="860" spans="1:10" ht="48">
      <c r="A860" s="1">
        <v>2023</v>
      </c>
      <c r="B860" s="1" t="s">
        <v>9</v>
      </c>
      <c r="C860" s="1" t="s">
        <v>92</v>
      </c>
      <c r="D860" s="1" t="s">
        <v>1682</v>
      </c>
      <c r="E860" s="1" t="s">
        <v>1686</v>
      </c>
      <c r="F860" s="1" t="s">
        <v>1687</v>
      </c>
      <c r="G860" s="2">
        <v>0</v>
      </c>
      <c r="H860" s="2">
        <f t="shared" si="277"/>
        <v>72</v>
      </c>
      <c r="I860" s="2">
        <f t="shared" si="278"/>
        <v>0</v>
      </c>
      <c r="J860" s="1" t="s">
        <v>1685</v>
      </c>
    </row>
    <row r="861" spans="1:10" ht="48">
      <c r="A861" s="1">
        <v>2023</v>
      </c>
      <c r="B861" s="1" t="s">
        <v>9</v>
      </c>
      <c r="C861" s="1" t="s">
        <v>92</v>
      </c>
      <c r="D861" s="1" t="s">
        <v>1682</v>
      </c>
      <c r="E861" s="1" t="s">
        <v>1688</v>
      </c>
      <c r="F861" s="1" t="s">
        <v>1689</v>
      </c>
      <c r="G861" s="2">
        <v>90</v>
      </c>
      <c r="H861" s="2">
        <f t="shared" ref="H861:I861" si="279">2+2+2</f>
        <v>6</v>
      </c>
      <c r="I861" s="2">
        <f t="shared" si="279"/>
        <v>6</v>
      </c>
      <c r="J861" s="1" t="s">
        <v>1685</v>
      </c>
    </row>
    <row r="862" spans="1:10" ht="60">
      <c r="A862" s="1">
        <v>2023</v>
      </c>
      <c r="B862" s="1" t="s">
        <v>9</v>
      </c>
      <c r="C862" s="1" t="s">
        <v>92</v>
      </c>
      <c r="D862" s="1" t="s">
        <v>1682</v>
      </c>
      <c r="E862" s="1" t="s">
        <v>1690</v>
      </c>
      <c r="F862" s="1" t="s">
        <v>1691</v>
      </c>
      <c r="G862" s="2">
        <v>88</v>
      </c>
      <c r="H862" s="2">
        <f>3+3+3</f>
        <v>9</v>
      </c>
      <c r="I862" s="2">
        <f>4+3+3</f>
        <v>10</v>
      </c>
      <c r="J862" s="1" t="s">
        <v>1685</v>
      </c>
    </row>
    <row r="863" spans="1:10" ht="48">
      <c r="A863" s="1">
        <v>2023</v>
      </c>
      <c r="B863" s="1" t="s">
        <v>9</v>
      </c>
      <c r="C863" s="1" t="s">
        <v>92</v>
      </c>
      <c r="D863" s="1" t="s">
        <v>1682</v>
      </c>
      <c r="E863" s="1" t="s">
        <v>1692</v>
      </c>
      <c r="F863" s="1" t="s">
        <v>1693</v>
      </c>
      <c r="G863" s="2">
        <v>12</v>
      </c>
      <c r="H863" s="2">
        <f t="shared" ref="H863:I863" si="280">1+1+1</f>
        <v>3</v>
      </c>
      <c r="I863" s="2">
        <f t="shared" si="280"/>
        <v>3</v>
      </c>
      <c r="J863" s="1" t="s">
        <v>1685</v>
      </c>
    </row>
    <row r="864" spans="1:10" ht="48">
      <c r="A864" s="1">
        <v>2023</v>
      </c>
      <c r="B864" s="1" t="s">
        <v>9</v>
      </c>
      <c r="C864" s="1" t="s">
        <v>92</v>
      </c>
      <c r="D864" s="1" t="s">
        <v>1682</v>
      </c>
      <c r="E864" s="1" t="s">
        <v>1694</v>
      </c>
      <c r="F864" s="1" t="s">
        <v>1695</v>
      </c>
      <c r="G864" s="2">
        <v>90</v>
      </c>
      <c r="H864" s="2">
        <f t="shared" ref="H864:I864" si="281">2+2+2</f>
        <v>6</v>
      </c>
      <c r="I864" s="2">
        <f t="shared" si="281"/>
        <v>6</v>
      </c>
      <c r="J864" s="1" t="s">
        <v>1685</v>
      </c>
    </row>
    <row r="865" spans="1:10" ht="48">
      <c r="A865" s="1">
        <v>2023</v>
      </c>
      <c r="B865" s="1" t="s">
        <v>9</v>
      </c>
      <c r="C865" s="1" t="s">
        <v>92</v>
      </c>
      <c r="D865" s="1" t="s">
        <v>1682</v>
      </c>
      <c r="E865" s="1" t="s">
        <v>1696</v>
      </c>
      <c r="F865" s="1" t="s">
        <v>1697</v>
      </c>
      <c r="G865" s="2">
        <v>44</v>
      </c>
      <c r="H865" s="2">
        <f>1+1+1</f>
        <v>3</v>
      </c>
      <c r="I865" s="2">
        <f>4+4+3</f>
        <v>11</v>
      </c>
      <c r="J865" s="1" t="s">
        <v>1685</v>
      </c>
    </row>
    <row r="866" spans="1:10" ht="72">
      <c r="A866" s="1">
        <v>2023</v>
      </c>
      <c r="B866" s="1" t="s">
        <v>9</v>
      </c>
      <c r="C866" s="1" t="s">
        <v>92</v>
      </c>
      <c r="D866" s="1" t="s">
        <v>1682</v>
      </c>
      <c r="E866" s="1" t="s">
        <v>1698</v>
      </c>
      <c r="F866" s="1" t="s">
        <v>1699</v>
      </c>
      <c r="G866" s="2">
        <v>44</v>
      </c>
      <c r="H866" s="2">
        <f t="shared" ref="H866:I866" si="282">2+2+2</f>
        <v>6</v>
      </c>
      <c r="I866" s="2">
        <f t="shared" si="282"/>
        <v>6</v>
      </c>
      <c r="J866" s="1" t="s">
        <v>1685</v>
      </c>
    </row>
    <row r="867" spans="1:10" ht="48">
      <c r="A867" s="1">
        <v>2023</v>
      </c>
      <c r="B867" s="1" t="s">
        <v>9</v>
      </c>
      <c r="C867" s="1" t="s">
        <v>92</v>
      </c>
      <c r="D867" s="1" t="s">
        <v>1682</v>
      </c>
      <c r="E867" s="1" t="s">
        <v>1700</v>
      </c>
      <c r="F867" s="1" t="s">
        <v>1701</v>
      </c>
      <c r="G867" s="2">
        <v>0</v>
      </c>
      <c r="H867" s="2">
        <f>1+1+1</f>
        <v>3</v>
      </c>
      <c r="I867" s="11">
        <f>2+1+0</f>
        <v>3</v>
      </c>
      <c r="J867" s="1" t="s">
        <v>1685</v>
      </c>
    </row>
    <row r="868" spans="1:10" ht="48">
      <c r="A868" s="1">
        <v>2023</v>
      </c>
      <c r="B868" s="1" t="s">
        <v>9</v>
      </c>
      <c r="C868" s="1" t="s">
        <v>92</v>
      </c>
      <c r="D868" s="1" t="s">
        <v>1702</v>
      </c>
      <c r="E868" s="1" t="s">
        <v>1703</v>
      </c>
      <c r="F868" s="1" t="s">
        <v>1704</v>
      </c>
      <c r="G868" s="2">
        <v>0</v>
      </c>
      <c r="H868" s="2">
        <f t="shared" ref="H868:H869" si="283">0+0+156</f>
        <v>156</v>
      </c>
      <c r="I868" s="2">
        <f t="shared" ref="I868:I869" si="284">0+0+0</f>
        <v>0</v>
      </c>
      <c r="J868" s="1" t="s">
        <v>1671</v>
      </c>
    </row>
    <row r="869" spans="1:10" ht="48">
      <c r="A869" s="1">
        <v>2023</v>
      </c>
      <c r="B869" s="1" t="s">
        <v>9</v>
      </c>
      <c r="C869" s="1" t="s">
        <v>92</v>
      </c>
      <c r="D869" s="1" t="s">
        <v>1702</v>
      </c>
      <c r="E869" s="1" t="s">
        <v>1705</v>
      </c>
      <c r="F869" s="1" t="s">
        <v>91</v>
      </c>
      <c r="G869" s="2">
        <v>0</v>
      </c>
      <c r="H869" s="2">
        <f t="shared" si="283"/>
        <v>156</v>
      </c>
      <c r="I869" s="2">
        <f t="shared" si="284"/>
        <v>0</v>
      </c>
      <c r="J869" s="1" t="s">
        <v>1671</v>
      </c>
    </row>
    <row r="870" spans="1:10" ht="48">
      <c r="A870" s="1">
        <v>2023</v>
      </c>
      <c r="B870" s="1" t="s">
        <v>9</v>
      </c>
      <c r="C870" s="1" t="s">
        <v>92</v>
      </c>
      <c r="D870" s="1" t="s">
        <v>1702</v>
      </c>
      <c r="E870" s="1" t="s">
        <v>1706</v>
      </c>
      <c r="F870" s="1" t="s">
        <v>1707</v>
      </c>
      <c r="G870" s="2">
        <v>120</v>
      </c>
      <c r="H870" s="2">
        <f>10+10+10</f>
        <v>30</v>
      </c>
      <c r="I870" s="2">
        <f>10+10+12</f>
        <v>32</v>
      </c>
      <c r="J870" s="1" t="s">
        <v>1671</v>
      </c>
    </row>
    <row r="871" spans="1:10" ht="48">
      <c r="A871" s="1">
        <v>2023</v>
      </c>
      <c r="B871" s="1" t="s">
        <v>9</v>
      </c>
      <c r="C871" s="1" t="s">
        <v>92</v>
      </c>
      <c r="D871" s="1" t="s">
        <v>1702</v>
      </c>
      <c r="E871" s="1" t="s">
        <v>1708</v>
      </c>
      <c r="F871" s="1" t="s">
        <v>1709</v>
      </c>
      <c r="G871" s="2">
        <v>30</v>
      </c>
      <c r="H871" s="2">
        <f>3+3+3</f>
        <v>9</v>
      </c>
      <c r="I871" s="2">
        <f>3+6+2</f>
        <v>11</v>
      </c>
      <c r="J871" s="1" t="s">
        <v>1671</v>
      </c>
    </row>
    <row r="872" spans="1:10" ht="48">
      <c r="A872" s="1">
        <v>2023</v>
      </c>
      <c r="B872" s="1" t="s">
        <v>9</v>
      </c>
      <c r="C872" s="1" t="s">
        <v>92</v>
      </c>
      <c r="D872" s="1" t="s">
        <v>1702</v>
      </c>
      <c r="E872" s="2" t="s">
        <v>1710</v>
      </c>
      <c r="F872" s="1" t="s">
        <v>1711</v>
      </c>
      <c r="G872" s="2">
        <v>60</v>
      </c>
      <c r="H872" s="11">
        <f t="shared" ref="H872:H873" si="285">5+5+5</f>
        <v>15</v>
      </c>
      <c r="I872" s="11">
        <f>7+8+9</f>
        <v>24</v>
      </c>
      <c r="J872" s="1" t="s">
        <v>1671</v>
      </c>
    </row>
    <row r="873" spans="1:10" ht="48">
      <c r="A873" s="1">
        <v>2023</v>
      </c>
      <c r="B873" s="1" t="s">
        <v>9</v>
      </c>
      <c r="C873" s="1" t="s">
        <v>92</v>
      </c>
      <c r="D873" s="1" t="s">
        <v>1702</v>
      </c>
      <c r="E873" s="2" t="s">
        <v>1712</v>
      </c>
      <c r="F873" s="1" t="s">
        <v>1713</v>
      </c>
      <c r="G873" s="2">
        <v>60</v>
      </c>
      <c r="H873" s="11">
        <f t="shared" si="285"/>
        <v>15</v>
      </c>
      <c r="I873" s="11">
        <f>3+2+3</f>
        <v>8</v>
      </c>
      <c r="J873" s="1" t="s">
        <v>1671</v>
      </c>
    </row>
    <row r="874" spans="1:10" ht="48">
      <c r="A874" s="1">
        <v>2023</v>
      </c>
      <c r="B874" s="1" t="s">
        <v>9</v>
      </c>
      <c r="C874" s="1" t="s">
        <v>92</v>
      </c>
      <c r="D874" s="1" t="s">
        <v>1702</v>
      </c>
      <c r="E874" s="2" t="s">
        <v>1714</v>
      </c>
      <c r="F874" s="1" t="s">
        <v>330</v>
      </c>
      <c r="G874" s="2">
        <v>15</v>
      </c>
      <c r="H874" s="11">
        <f t="shared" ref="H874:H875" si="286">1+1+1</f>
        <v>3</v>
      </c>
      <c r="I874" s="11">
        <f>2+4+1</f>
        <v>7</v>
      </c>
      <c r="J874" s="1" t="s">
        <v>1671</v>
      </c>
    </row>
    <row r="875" spans="1:10" ht="60">
      <c r="A875" s="1">
        <v>2023</v>
      </c>
      <c r="B875" s="1" t="s">
        <v>9</v>
      </c>
      <c r="C875" s="1" t="s">
        <v>92</v>
      </c>
      <c r="D875" s="1" t="s">
        <v>1702</v>
      </c>
      <c r="E875" s="2" t="s">
        <v>1715</v>
      </c>
      <c r="F875" s="1" t="s">
        <v>330</v>
      </c>
      <c r="G875" s="2">
        <v>15</v>
      </c>
      <c r="H875" s="11">
        <f t="shared" si="286"/>
        <v>3</v>
      </c>
      <c r="I875" s="11">
        <f>1+2+1</f>
        <v>4</v>
      </c>
      <c r="J875" s="1" t="s">
        <v>1671</v>
      </c>
    </row>
    <row r="876" spans="1:10" ht="48">
      <c r="A876" s="1">
        <v>2023</v>
      </c>
      <c r="B876" s="1" t="s">
        <v>9</v>
      </c>
      <c r="C876" s="1" t="s">
        <v>92</v>
      </c>
      <c r="D876" s="1" t="s">
        <v>1716</v>
      </c>
      <c r="E876" s="1" t="s">
        <v>1717</v>
      </c>
      <c r="F876" s="1" t="s">
        <v>1718</v>
      </c>
      <c r="G876" s="2">
        <v>0</v>
      </c>
      <c r="H876" s="2">
        <f t="shared" ref="H876:H877" si="287">0+0+540</f>
        <v>540</v>
      </c>
      <c r="I876" s="2">
        <f t="shared" ref="I876:I877" si="288">0+0+0</f>
        <v>0</v>
      </c>
      <c r="J876" s="1" t="s">
        <v>1671</v>
      </c>
    </row>
    <row r="877" spans="1:10" ht="60">
      <c r="A877" s="1">
        <v>2023</v>
      </c>
      <c r="B877" s="1" t="s">
        <v>9</v>
      </c>
      <c r="C877" s="1" t="s">
        <v>92</v>
      </c>
      <c r="D877" s="1" t="s">
        <v>1716</v>
      </c>
      <c r="E877" s="1" t="s">
        <v>1719</v>
      </c>
      <c r="F877" s="1" t="s">
        <v>1720</v>
      </c>
      <c r="G877" s="2">
        <v>0</v>
      </c>
      <c r="H877" s="2">
        <f t="shared" si="287"/>
        <v>540</v>
      </c>
      <c r="I877" s="2">
        <f t="shared" si="288"/>
        <v>0</v>
      </c>
      <c r="J877" s="1" t="s">
        <v>1671</v>
      </c>
    </row>
    <row r="878" spans="1:10" ht="48">
      <c r="A878" s="1">
        <v>2023</v>
      </c>
      <c r="B878" s="1" t="s">
        <v>9</v>
      </c>
      <c r="C878" s="1" t="s">
        <v>92</v>
      </c>
      <c r="D878" s="1" t="s">
        <v>1716</v>
      </c>
      <c r="E878" s="1" t="s">
        <v>1721</v>
      </c>
      <c r="F878" s="1" t="s">
        <v>1722</v>
      </c>
      <c r="G878" s="2">
        <v>180</v>
      </c>
      <c r="H878" s="2">
        <f>15+15+15</f>
        <v>45</v>
      </c>
      <c r="I878" s="2">
        <f>7+5+2</f>
        <v>14</v>
      </c>
      <c r="J878" s="1" t="s">
        <v>1671</v>
      </c>
    </row>
    <row r="879" spans="1:10" ht="48">
      <c r="A879" s="1">
        <v>2023</v>
      </c>
      <c r="B879" s="1" t="s">
        <v>9</v>
      </c>
      <c r="C879" s="1" t="s">
        <v>92</v>
      </c>
      <c r="D879" s="1" t="s">
        <v>1716</v>
      </c>
      <c r="E879" s="1" t="s">
        <v>1721</v>
      </c>
      <c r="F879" s="1" t="s">
        <v>1723</v>
      </c>
      <c r="G879" s="2">
        <v>180</v>
      </c>
      <c r="H879" s="2">
        <f>30+30+30</f>
        <v>90</v>
      </c>
      <c r="I879" s="2">
        <f>5+10+5</f>
        <v>20</v>
      </c>
      <c r="J879" s="1" t="s">
        <v>1671</v>
      </c>
    </row>
    <row r="880" spans="1:10" ht="48">
      <c r="A880" s="1">
        <v>2023</v>
      </c>
      <c r="B880" s="1" t="s">
        <v>9</v>
      </c>
      <c r="C880" s="1" t="s">
        <v>92</v>
      </c>
      <c r="D880" s="1" t="s">
        <v>1716</v>
      </c>
      <c r="E880" s="1" t="s">
        <v>1724</v>
      </c>
      <c r="F880" s="1" t="s">
        <v>1725</v>
      </c>
      <c r="G880" s="2">
        <v>90</v>
      </c>
      <c r="H880" s="11">
        <f>9+7+5</f>
        <v>21</v>
      </c>
      <c r="I880" s="11">
        <f t="shared" ref="I880:I881" si="289">10+5+2</f>
        <v>17</v>
      </c>
      <c r="J880" s="1" t="s">
        <v>1671</v>
      </c>
    </row>
    <row r="881" spans="1:10" ht="48">
      <c r="A881" s="1">
        <v>2023</v>
      </c>
      <c r="B881" s="1" t="s">
        <v>9</v>
      </c>
      <c r="C881" s="1" t="s">
        <v>92</v>
      </c>
      <c r="D881" s="1" t="s">
        <v>1716</v>
      </c>
      <c r="E881" s="1" t="s">
        <v>1724</v>
      </c>
      <c r="F881" s="1" t="s">
        <v>1724</v>
      </c>
      <c r="G881" s="2">
        <v>90</v>
      </c>
      <c r="H881" s="11">
        <f>6+8+10</f>
        <v>24</v>
      </c>
      <c r="I881" s="11">
        <f t="shared" si="289"/>
        <v>17</v>
      </c>
      <c r="J881" s="1" t="s">
        <v>1671</v>
      </c>
    </row>
    <row r="882" spans="1:10" ht="48">
      <c r="A882" s="1">
        <v>2023</v>
      </c>
      <c r="B882" s="1" t="s">
        <v>9</v>
      </c>
      <c r="C882" s="1" t="s">
        <v>92</v>
      </c>
      <c r="D882" s="1" t="s">
        <v>1716</v>
      </c>
      <c r="E882" s="1" t="s">
        <v>1724</v>
      </c>
      <c r="F882" s="1" t="s">
        <v>1724</v>
      </c>
      <c r="G882" s="2">
        <v>360</v>
      </c>
      <c r="H882" s="11">
        <f>30+30+30</f>
        <v>90</v>
      </c>
      <c r="I882" s="11">
        <f>2+2+1</f>
        <v>5</v>
      </c>
      <c r="J882" s="1" t="s">
        <v>1671</v>
      </c>
    </row>
    <row r="883" spans="1:10" ht="48">
      <c r="A883" s="1">
        <v>2023</v>
      </c>
      <c r="B883" s="1" t="s">
        <v>9</v>
      </c>
      <c r="C883" s="1" t="s">
        <v>92</v>
      </c>
      <c r="D883" s="1" t="s">
        <v>1726</v>
      </c>
      <c r="E883" s="1" t="s">
        <v>1727</v>
      </c>
      <c r="F883" s="1" t="s">
        <v>1728</v>
      </c>
      <c r="G883" s="2">
        <v>0</v>
      </c>
      <c r="H883" s="3">
        <f t="shared" ref="H883:H884" si="290">0+0+100%</f>
        <v>1</v>
      </c>
      <c r="I883" s="3">
        <f t="shared" ref="I883:I884" si="291">0+0+0</f>
        <v>0</v>
      </c>
      <c r="J883" s="1" t="s">
        <v>1729</v>
      </c>
    </row>
    <row r="884" spans="1:10" ht="48">
      <c r="A884" s="1">
        <v>2023</v>
      </c>
      <c r="B884" s="1" t="s">
        <v>9</v>
      </c>
      <c r="C884" s="1" t="s">
        <v>92</v>
      </c>
      <c r="D884" s="1" t="s">
        <v>1726</v>
      </c>
      <c r="E884" s="1" t="s">
        <v>1727</v>
      </c>
      <c r="F884" s="1" t="s">
        <v>1728</v>
      </c>
      <c r="G884" s="2">
        <v>0</v>
      </c>
      <c r="H884" s="3">
        <f t="shared" si="290"/>
        <v>1</v>
      </c>
      <c r="I884" s="3">
        <f t="shared" si="291"/>
        <v>0</v>
      </c>
      <c r="J884" s="1" t="s">
        <v>1729</v>
      </c>
    </row>
    <row r="885" spans="1:10" ht="48">
      <c r="A885" s="1">
        <v>2023</v>
      </c>
      <c r="B885" s="1" t="s">
        <v>9</v>
      </c>
      <c r="C885" s="1" t="s">
        <v>92</v>
      </c>
      <c r="D885" s="1" t="s">
        <v>1726</v>
      </c>
      <c r="E885" s="1" t="s">
        <v>1731</v>
      </c>
      <c r="F885" s="1" t="s">
        <v>1732</v>
      </c>
      <c r="G885" s="2">
        <v>158</v>
      </c>
      <c r="H885" s="3">
        <f>12%+7%+16%</f>
        <v>0.35</v>
      </c>
      <c r="I885" s="3">
        <f>9%+9%+5%</f>
        <v>0.22999999999999998</v>
      </c>
      <c r="J885" s="1" t="s">
        <v>1729</v>
      </c>
    </row>
    <row r="886" spans="1:10" ht="48">
      <c r="A886" s="1">
        <v>2023</v>
      </c>
      <c r="B886" s="1" t="s">
        <v>9</v>
      </c>
      <c r="C886" s="1" t="s">
        <v>92</v>
      </c>
      <c r="D886" s="1" t="s">
        <v>1726</v>
      </c>
      <c r="E886" s="1" t="s">
        <v>1733</v>
      </c>
      <c r="F886" s="1" t="s">
        <v>1734</v>
      </c>
      <c r="G886" s="2">
        <v>186</v>
      </c>
      <c r="H886" s="3">
        <f>11%+6%+5%</f>
        <v>0.21999999999999997</v>
      </c>
      <c r="I886" s="3">
        <f>11%+13%+5%</f>
        <v>0.28999999999999998</v>
      </c>
      <c r="J886" s="1" t="s">
        <v>1729</v>
      </c>
    </row>
    <row r="887" spans="1:10" ht="48">
      <c r="A887" s="1">
        <v>2023</v>
      </c>
      <c r="B887" s="1" t="s">
        <v>9</v>
      </c>
      <c r="C887" s="1" t="s">
        <v>92</v>
      </c>
      <c r="D887" s="1" t="s">
        <v>1726</v>
      </c>
      <c r="E887" s="1" t="s">
        <v>1735</v>
      </c>
      <c r="F887" s="1" t="s">
        <v>1736</v>
      </c>
      <c r="G887" s="2">
        <v>86</v>
      </c>
      <c r="H887" s="3">
        <f>7%+7%+4%</f>
        <v>0.18000000000000002</v>
      </c>
      <c r="I887" s="3">
        <f>20%+17%+6%</f>
        <v>0.43</v>
      </c>
      <c r="J887" s="1" t="s">
        <v>1729</v>
      </c>
    </row>
    <row r="888" spans="1:10" ht="48">
      <c r="A888" s="1">
        <v>2023</v>
      </c>
      <c r="B888" s="1" t="s">
        <v>9</v>
      </c>
      <c r="C888" s="1" t="s">
        <v>92</v>
      </c>
      <c r="D888" s="1" t="s">
        <v>1726</v>
      </c>
      <c r="E888" s="1" t="s">
        <v>1737</v>
      </c>
      <c r="F888" s="1" t="s">
        <v>1738</v>
      </c>
      <c r="G888" s="11">
        <v>158</v>
      </c>
      <c r="H888" s="11">
        <f>4+2+2</f>
        <v>8</v>
      </c>
      <c r="I888" s="11">
        <f>15+15+8</f>
        <v>38</v>
      </c>
      <c r="J888" s="1" t="s">
        <v>1729</v>
      </c>
    </row>
    <row r="889" spans="1:10" ht="48">
      <c r="A889" s="1">
        <v>2023</v>
      </c>
      <c r="B889" s="1" t="s">
        <v>9</v>
      </c>
      <c r="C889" s="1" t="s">
        <v>92</v>
      </c>
      <c r="D889" s="1" t="s">
        <v>1726</v>
      </c>
      <c r="E889" s="1" t="s">
        <v>1739</v>
      </c>
      <c r="F889" s="1" t="s">
        <v>1740</v>
      </c>
      <c r="G889" s="11">
        <v>93</v>
      </c>
      <c r="H889" s="11">
        <f>5+3+2</f>
        <v>10</v>
      </c>
      <c r="I889" s="11">
        <f t="shared" ref="I889:I890" si="292">12+15+6</f>
        <v>33</v>
      </c>
      <c r="J889" s="1" t="s">
        <v>1729</v>
      </c>
    </row>
    <row r="890" spans="1:10" ht="48">
      <c r="A890" s="1">
        <v>2023</v>
      </c>
      <c r="B890" s="1" t="s">
        <v>9</v>
      </c>
      <c r="C890" s="1" t="s">
        <v>92</v>
      </c>
      <c r="D890" s="1" t="s">
        <v>1726</v>
      </c>
      <c r="E890" s="1" t="s">
        <v>1741</v>
      </c>
      <c r="F890" s="1" t="s">
        <v>1740</v>
      </c>
      <c r="G890" s="11">
        <v>93</v>
      </c>
      <c r="H890" s="11">
        <f>4+2+2</f>
        <v>8</v>
      </c>
      <c r="I890" s="11">
        <f t="shared" si="292"/>
        <v>33</v>
      </c>
      <c r="J890" s="1" t="s">
        <v>1729</v>
      </c>
    </row>
    <row r="891" spans="1:10" ht="48">
      <c r="A891" s="1">
        <v>2023</v>
      </c>
      <c r="B891" s="1" t="s">
        <v>9</v>
      </c>
      <c r="C891" s="1" t="s">
        <v>92</v>
      </c>
      <c r="D891" s="1" t="s">
        <v>1726</v>
      </c>
      <c r="E891" s="1" t="s">
        <v>1742</v>
      </c>
      <c r="F891" s="1" t="s">
        <v>1743</v>
      </c>
      <c r="G891" s="11">
        <v>43</v>
      </c>
      <c r="H891" s="11">
        <f>3+2+4</f>
        <v>9</v>
      </c>
      <c r="I891" s="11">
        <f>19+7+6</f>
        <v>32</v>
      </c>
      <c r="J891" s="1" t="s">
        <v>1729</v>
      </c>
    </row>
    <row r="892" spans="1:10" ht="48">
      <c r="A892" s="1">
        <v>2023</v>
      </c>
      <c r="B892" s="1" t="s">
        <v>9</v>
      </c>
      <c r="C892" s="1" t="s">
        <v>92</v>
      </c>
      <c r="D892" s="1" t="s">
        <v>1726</v>
      </c>
      <c r="E892" s="1" t="s">
        <v>196</v>
      </c>
      <c r="F892" s="1" t="s">
        <v>197</v>
      </c>
      <c r="G892" s="11">
        <v>43</v>
      </c>
      <c r="H892" s="23">
        <f>158+159+88</f>
        <v>405</v>
      </c>
      <c r="I892" s="11">
        <f>242+216+80</f>
        <v>538</v>
      </c>
      <c r="J892" s="1" t="s">
        <v>1729</v>
      </c>
    </row>
    <row r="893" spans="1:10" ht="48">
      <c r="A893" s="1">
        <v>2023</v>
      </c>
      <c r="B893" s="1" t="s">
        <v>9</v>
      </c>
      <c r="C893" s="1" t="s">
        <v>92</v>
      </c>
      <c r="D893" s="1" t="s">
        <v>1744</v>
      </c>
      <c r="E893" s="1" t="s">
        <v>1745</v>
      </c>
      <c r="F893" s="1" t="s">
        <v>1746</v>
      </c>
      <c r="G893" s="2">
        <v>0</v>
      </c>
      <c r="H893" s="3">
        <f t="shared" ref="H893:H894" si="293">0+0+100%</f>
        <v>1</v>
      </c>
      <c r="I893" s="3">
        <f t="shared" ref="I893:I894" si="294">0+0+0</f>
        <v>0</v>
      </c>
      <c r="J893" s="1" t="s">
        <v>1729</v>
      </c>
    </row>
    <row r="894" spans="1:10" ht="48">
      <c r="A894" s="1">
        <v>2023</v>
      </c>
      <c r="B894" s="1" t="s">
        <v>9</v>
      </c>
      <c r="C894" s="1" t="s">
        <v>92</v>
      </c>
      <c r="D894" s="1" t="s">
        <v>1744</v>
      </c>
      <c r="E894" s="1" t="s">
        <v>1747</v>
      </c>
      <c r="F894" s="1" t="s">
        <v>1748</v>
      </c>
      <c r="G894" s="2">
        <v>0</v>
      </c>
      <c r="H894" s="3">
        <f t="shared" si="293"/>
        <v>1</v>
      </c>
      <c r="I894" s="3">
        <f t="shared" si="294"/>
        <v>0</v>
      </c>
      <c r="J894" s="1" t="s">
        <v>1729</v>
      </c>
    </row>
    <row r="895" spans="1:10" ht="48">
      <c r="A895" s="1">
        <v>2023</v>
      </c>
      <c r="B895" s="1" t="s">
        <v>9</v>
      </c>
      <c r="C895" s="1" t="s">
        <v>92</v>
      </c>
      <c r="D895" s="1" t="s">
        <v>1744</v>
      </c>
      <c r="E895" s="1" t="s">
        <v>1749</v>
      </c>
      <c r="F895" s="1" t="s">
        <v>1750</v>
      </c>
      <c r="G895" s="2">
        <v>2444</v>
      </c>
      <c r="H895" s="3">
        <f>20%+5%+1%</f>
        <v>0.26</v>
      </c>
      <c r="I895" s="3">
        <f t="shared" ref="I895:I896" si="295">1%+1%+1%</f>
        <v>0.03</v>
      </c>
      <c r="J895" s="1" t="s">
        <v>1729</v>
      </c>
    </row>
    <row r="896" spans="1:10" ht="48">
      <c r="A896" s="1">
        <v>2023</v>
      </c>
      <c r="B896" s="1" t="s">
        <v>9</v>
      </c>
      <c r="C896" s="1" t="s">
        <v>92</v>
      </c>
      <c r="D896" s="1" t="s">
        <v>1744</v>
      </c>
      <c r="E896" s="1" t="s">
        <v>1751</v>
      </c>
      <c r="F896" s="1" t="s">
        <v>447</v>
      </c>
      <c r="G896" s="2">
        <v>1750</v>
      </c>
      <c r="H896" s="3">
        <f>27%+6%+1%</f>
        <v>0.34</v>
      </c>
      <c r="I896" s="3">
        <f t="shared" si="295"/>
        <v>0.03</v>
      </c>
      <c r="J896" s="1" t="s">
        <v>1729</v>
      </c>
    </row>
    <row r="897" spans="1:10" ht="48">
      <c r="A897" s="1">
        <v>2023</v>
      </c>
      <c r="B897" s="1" t="s">
        <v>9</v>
      </c>
      <c r="C897" s="1" t="s">
        <v>92</v>
      </c>
      <c r="D897" s="1" t="s">
        <v>1744</v>
      </c>
      <c r="E897" s="1" t="s">
        <v>1752</v>
      </c>
      <c r="F897" s="1" t="s">
        <v>1753</v>
      </c>
      <c r="G897" s="11">
        <v>1222</v>
      </c>
      <c r="H897" s="11">
        <f t="shared" ref="H897:H898" si="296">8+2+1</f>
        <v>11</v>
      </c>
      <c r="I897" s="11">
        <f>12+10+9</f>
        <v>31</v>
      </c>
      <c r="J897" s="1" t="s">
        <v>1729</v>
      </c>
    </row>
    <row r="898" spans="1:10" ht="48">
      <c r="A898" s="1">
        <v>2023</v>
      </c>
      <c r="B898" s="1" t="s">
        <v>9</v>
      </c>
      <c r="C898" s="1" t="s">
        <v>92</v>
      </c>
      <c r="D898" s="1" t="s">
        <v>1744</v>
      </c>
      <c r="E898" s="1" t="s">
        <v>1754</v>
      </c>
      <c r="F898" s="1" t="s">
        <v>1755</v>
      </c>
      <c r="G898" s="11">
        <v>1222</v>
      </c>
      <c r="H898" s="11">
        <f t="shared" si="296"/>
        <v>11</v>
      </c>
      <c r="I898" s="11">
        <f>2+6+5</f>
        <v>13</v>
      </c>
      <c r="J898" s="1" t="s">
        <v>1729</v>
      </c>
    </row>
    <row r="899" spans="1:10" ht="48">
      <c r="A899" s="1">
        <v>2023</v>
      </c>
      <c r="B899" s="1" t="s">
        <v>9</v>
      </c>
      <c r="C899" s="1" t="s">
        <v>92</v>
      </c>
      <c r="D899" s="1" t="s">
        <v>1744</v>
      </c>
      <c r="E899" s="1" t="s">
        <v>1756</v>
      </c>
      <c r="F899" s="1" t="s">
        <v>1573</v>
      </c>
      <c r="G899" s="11">
        <v>438</v>
      </c>
      <c r="H899" s="11">
        <f>3+3+3</f>
        <v>9</v>
      </c>
      <c r="I899" s="11">
        <f>5+5+0</f>
        <v>10</v>
      </c>
      <c r="J899" s="1" t="s">
        <v>1729</v>
      </c>
    </row>
    <row r="900" spans="1:10" ht="48">
      <c r="A900" s="1">
        <v>2023</v>
      </c>
      <c r="B900" s="1" t="s">
        <v>9</v>
      </c>
      <c r="C900" s="1" t="s">
        <v>92</v>
      </c>
      <c r="D900" s="1" t="s">
        <v>1744</v>
      </c>
      <c r="E900" s="1" t="s">
        <v>1757</v>
      </c>
      <c r="F900" s="1" t="s">
        <v>1758</v>
      </c>
      <c r="G900" s="11">
        <v>438</v>
      </c>
      <c r="H900" s="11">
        <f>40+25+15</f>
        <v>80</v>
      </c>
      <c r="I900" s="11">
        <f>0+1+11</f>
        <v>12</v>
      </c>
      <c r="J900" s="1" t="s">
        <v>1729</v>
      </c>
    </row>
    <row r="901" spans="1:10" ht="48">
      <c r="A901" s="1">
        <v>2023</v>
      </c>
      <c r="B901" s="1" t="s">
        <v>9</v>
      </c>
      <c r="C901" s="1" t="s">
        <v>92</v>
      </c>
      <c r="D901" s="1" t="s">
        <v>1744</v>
      </c>
      <c r="E901" s="1" t="s">
        <v>1163</v>
      </c>
      <c r="F901" s="1" t="s">
        <v>1573</v>
      </c>
      <c r="G901" s="11">
        <v>438</v>
      </c>
      <c r="H901" s="11">
        <f>3+3+3</f>
        <v>9</v>
      </c>
      <c r="I901" s="11">
        <f>6+6+2</f>
        <v>14</v>
      </c>
      <c r="J901" s="1" t="s">
        <v>1729</v>
      </c>
    </row>
    <row r="902" spans="1:10" ht="48">
      <c r="A902" s="1">
        <v>2023</v>
      </c>
      <c r="B902" s="1" t="s">
        <v>9</v>
      </c>
      <c r="C902" s="1" t="s">
        <v>92</v>
      </c>
      <c r="D902" s="1" t="s">
        <v>1744</v>
      </c>
      <c r="E902" s="1" t="s">
        <v>1759</v>
      </c>
      <c r="F902" s="1" t="s">
        <v>1760</v>
      </c>
      <c r="G902" s="11">
        <v>438</v>
      </c>
      <c r="H902" s="11">
        <f>1+1+1</f>
        <v>3</v>
      </c>
      <c r="I902" s="11">
        <f t="shared" ref="I902:I904" si="297">0+0+0</f>
        <v>0</v>
      </c>
      <c r="J902" s="1" t="s">
        <v>1729</v>
      </c>
    </row>
    <row r="903" spans="1:10" ht="48">
      <c r="A903" s="1">
        <v>2023</v>
      </c>
      <c r="B903" s="1" t="s">
        <v>9</v>
      </c>
      <c r="C903" s="1" t="s">
        <v>92</v>
      </c>
      <c r="D903" s="1" t="s">
        <v>1761</v>
      </c>
      <c r="E903" s="1" t="s">
        <v>1762</v>
      </c>
      <c r="F903" s="1" t="s">
        <v>1730</v>
      </c>
      <c r="G903" s="2">
        <v>0</v>
      </c>
      <c r="H903" s="3">
        <f t="shared" ref="H903:H904" si="298">0+0+100%</f>
        <v>1</v>
      </c>
      <c r="I903" s="3">
        <f t="shared" si="297"/>
        <v>0</v>
      </c>
      <c r="J903" s="1" t="s">
        <v>1729</v>
      </c>
    </row>
    <row r="904" spans="1:10" ht="48">
      <c r="A904" s="1">
        <v>2023</v>
      </c>
      <c r="B904" s="1" t="s">
        <v>9</v>
      </c>
      <c r="C904" s="1" t="s">
        <v>92</v>
      </c>
      <c r="D904" s="1" t="s">
        <v>1761</v>
      </c>
      <c r="E904" s="1" t="s">
        <v>1727</v>
      </c>
      <c r="F904" s="1" t="s">
        <v>1728</v>
      </c>
      <c r="G904" s="2">
        <v>0</v>
      </c>
      <c r="H904" s="3">
        <f t="shared" si="298"/>
        <v>1</v>
      </c>
      <c r="I904" s="3">
        <f t="shared" si="297"/>
        <v>0</v>
      </c>
      <c r="J904" s="1" t="s">
        <v>1729</v>
      </c>
    </row>
    <row r="905" spans="1:10" ht="48">
      <c r="A905" s="1">
        <v>2023</v>
      </c>
      <c r="B905" s="1" t="s">
        <v>9</v>
      </c>
      <c r="C905" s="1" t="s">
        <v>92</v>
      </c>
      <c r="D905" s="1" t="s">
        <v>1761</v>
      </c>
      <c r="E905" s="1" t="s">
        <v>1762</v>
      </c>
      <c r="F905" s="1" t="s">
        <v>1732</v>
      </c>
      <c r="G905" s="2">
        <v>171</v>
      </c>
      <c r="H905" s="3">
        <f>10%+6%+15%</f>
        <v>0.31</v>
      </c>
      <c r="I905" s="3">
        <f>6%+6%+4%</f>
        <v>0.16</v>
      </c>
      <c r="J905" s="1" t="s">
        <v>1729</v>
      </c>
    </row>
    <row r="906" spans="1:10" ht="48">
      <c r="A906" s="1">
        <v>2023</v>
      </c>
      <c r="B906" s="1" t="s">
        <v>9</v>
      </c>
      <c r="C906" s="1" t="s">
        <v>92</v>
      </c>
      <c r="D906" s="1" t="s">
        <v>1761</v>
      </c>
      <c r="E906" s="1" t="s">
        <v>1763</v>
      </c>
      <c r="F906" s="1" t="s">
        <v>1764</v>
      </c>
      <c r="G906" s="2">
        <v>6021</v>
      </c>
      <c r="H906" s="3">
        <f>11%+8%+13%</f>
        <v>0.32</v>
      </c>
      <c r="I906" s="3">
        <f>20%+9%+3%</f>
        <v>0.32000000000000006</v>
      </c>
      <c r="J906" s="1" t="s">
        <v>1729</v>
      </c>
    </row>
    <row r="907" spans="1:10" ht="48">
      <c r="A907" s="1">
        <v>2023</v>
      </c>
      <c r="B907" s="1" t="s">
        <v>9</v>
      </c>
      <c r="C907" s="1" t="s">
        <v>92</v>
      </c>
      <c r="D907" s="1" t="s">
        <v>1761</v>
      </c>
      <c r="E907" s="24" t="s">
        <v>1765</v>
      </c>
      <c r="F907" s="1" t="s">
        <v>1766</v>
      </c>
      <c r="G907" s="11">
        <v>57</v>
      </c>
      <c r="H907" s="11">
        <f t="shared" ref="H907:H908" si="299">3+2+4</f>
        <v>9</v>
      </c>
      <c r="I907" s="11">
        <f>4+3+1</f>
        <v>8</v>
      </c>
      <c r="J907" s="1" t="s">
        <v>1729</v>
      </c>
    </row>
    <row r="908" spans="1:10" ht="48">
      <c r="A908" s="1">
        <v>2023</v>
      </c>
      <c r="B908" s="1" t="s">
        <v>9</v>
      </c>
      <c r="C908" s="1" t="s">
        <v>92</v>
      </c>
      <c r="D908" s="1" t="s">
        <v>1761</v>
      </c>
      <c r="E908" s="25" t="s">
        <v>1767</v>
      </c>
      <c r="F908" s="1" t="s">
        <v>1768</v>
      </c>
      <c r="G908" s="11">
        <v>57</v>
      </c>
      <c r="H908" s="11">
        <f t="shared" si="299"/>
        <v>9</v>
      </c>
      <c r="I908" s="11">
        <f>6+10+5</f>
        <v>21</v>
      </c>
      <c r="J908" s="1" t="s">
        <v>1729</v>
      </c>
    </row>
    <row r="909" spans="1:10" ht="48">
      <c r="A909" s="1">
        <v>2023</v>
      </c>
      <c r="B909" s="1" t="s">
        <v>9</v>
      </c>
      <c r="C909" s="1" t="s">
        <v>92</v>
      </c>
      <c r="D909" s="1" t="s">
        <v>1761</v>
      </c>
      <c r="E909" s="25" t="s">
        <v>1767</v>
      </c>
      <c r="F909" s="1" t="s">
        <v>1768</v>
      </c>
      <c r="G909" s="11">
        <v>57</v>
      </c>
      <c r="H909" s="11">
        <f>20+20+20</f>
        <v>60</v>
      </c>
      <c r="I909" s="11">
        <f>7+4+6</f>
        <v>17</v>
      </c>
      <c r="J909" s="1" t="s">
        <v>1729</v>
      </c>
    </row>
    <row r="910" spans="1:10" ht="48">
      <c r="A910" s="1">
        <v>2023</v>
      </c>
      <c r="B910" s="1" t="s">
        <v>9</v>
      </c>
      <c r="C910" s="1" t="s">
        <v>92</v>
      </c>
      <c r="D910" s="1" t="s">
        <v>1761</v>
      </c>
      <c r="E910" s="24" t="s">
        <v>1767</v>
      </c>
      <c r="F910" s="1" t="s">
        <v>1768</v>
      </c>
      <c r="G910" s="2">
        <v>3011</v>
      </c>
      <c r="H910" s="11">
        <f>400+400+200</f>
        <v>1000</v>
      </c>
      <c r="I910" s="11">
        <f>416+150+150</f>
        <v>716</v>
      </c>
      <c r="J910" s="1" t="s">
        <v>1729</v>
      </c>
    </row>
    <row r="911" spans="1:10" ht="48">
      <c r="A911" s="1">
        <v>2023</v>
      </c>
      <c r="B911" s="1" t="s">
        <v>9</v>
      </c>
      <c r="C911" s="1" t="s">
        <v>92</v>
      </c>
      <c r="D911" s="1" t="s">
        <v>1761</v>
      </c>
      <c r="E911" s="25" t="s">
        <v>1765</v>
      </c>
      <c r="F911" s="1" t="s">
        <v>1766</v>
      </c>
      <c r="G911" s="2">
        <v>3011</v>
      </c>
      <c r="H911" s="11">
        <f>251+251+251</f>
        <v>753</v>
      </c>
      <c r="I911" s="11">
        <f>416+310+150</f>
        <v>876</v>
      </c>
      <c r="J911" s="1" t="s">
        <v>1729</v>
      </c>
    </row>
    <row r="912" spans="1:10" ht="48">
      <c r="A912" s="1">
        <v>2023</v>
      </c>
      <c r="B912" s="1" t="s">
        <v>9</v>
      </c>
      <c r="C912" s="1" t="s">
        <v>92</v>
      </c>
      <c r="D912" s="1" t="s">
        <v>1769</v>
      </c>
      <c r="E912" s="1" t="s">
        <v>1770</v>
      </c>
      <c r="F912" s="1" t="s">
        <v>1771</v>
      </c>
      <c r="G912" s="3">
        <v>0</v>
      </c>
      <c r="H912" s="3">
        <f t="shared" ref="H912:H913" si="300">0+0+100%</f>
        <v>1</v>
      </c>
      <c r="I912" s="3">
        <f t="shared" ref="I912:I913" si="301">0+0+0</f>
        <v>0</v>
      </c>
      <c r="J912" s="1" t="s">
        <v>1685</v>
      </c>
    </row>
    <row r="913" spans="1:10" ht="60">
      <c r="A913" s="1">
        <v>2023</v>
      </c>
      <c r="B913" s="1" t="s">
        <v>9</v>
      </c>
      <c r="C913" s="1" t="s">
        <v>92</v>
      </c>
      <c r="D913" s="1" t="s">
        <v>1769</v>
      </c>
      <c r="E913" s="1" t="s">
        <v>1772</v>
      </c>
      <c r="F913" s="1" t="s">
        <v>91</v>
      </c>
      <c r="G913" s="3">
        <v>0</v>
      </c>
      <c r="H913" s="3">
        <f t="shared" si="300"/>
        <v>1</v>
      </c>
      <c r="I913" s="3">
        <f t="shared" si="301"/>
        <v>0</v>
      </c>
      <c r="J913" s="1" t="s">
        <v>1685</v>
      </c>
    </row>
    <row r="914" spans="1:10" ht="48">
      <c r="A914" s="1">
        <v>2023</v>
      </c>
      <c r="B914" s="1" t="s">
        <v>9</v>
      </c>
      <c r="C914" s="1" t="s">
        <v>92</v>
      </c>
      <c r="D914" s="1" t="s">
        <v>1769</v>
      </c>
      <c r="E914" s="1" t="s">
        <v>1773</v>
      </c>
      <c r="F914" s="1" t="s">
        <v>91</v>
      </c>
      <c r="G914" s="2">
        <v>1840</v>
      </c>
      <c r="H914" s="2">
        <f t="shared" ref="H914:H915" si="302">100+100+100</f>
        <v>300</v>
      </c>
      <c r="I914" s="2">
        <f>250+200+100</f>
        <v>550</v>
      </c>
      <c r="J914" s="1" t="s">
        <v>1685</v>
      </c>
    </row>
    <row r="915" spans="1:10" ht="48">
      <c r="A915" s="1">
        <v>2023</v>
      </c>
      <c r="B915" s="1" t="s">
        <v>9</v>
      </c>
      <c r="C915" s="1" t="s">
        <v>92</v>
      </c>
      <c r="D915" s="1" t="s">
        <v>1769</v>
      </c>
      <c r="E915" s="1" t="s">
        <v>1774</v>
      </c>
      <c r="F915" s="1" t="s">
        <v>1775</v>
      </c>
      <c r="G915" s="2">
        <v>10996</v>
      </c>
      <c r="H915" s="2">
        <f t="shared" si="302"/>
        <v>300</v>
      </c>
      <c r="I915" s="2">
        <f>80+80+50</f>
        <v>210</v>
      </c>
      <c r="J915" s="1" t="s">
        <v>1685</v>
      </c>
    </row>
    <row r="916" spans="1:10" ht="48">
      <c r="A916" s="1">
        <v>2023</v>
      </c>
      <c r="B916" s="1" t="s">
        <v>9</v>
      </c>
      <c r="C916" s="1" t="s">
        <v>92</v>
      </c>
      <c r="D916" s="1" t="s">
        <v>1769</v>
      </c>
      <c r="E916" s="1" t="s">
        <v>1575</v>
      </c>
      <c r="F916" s="1" t="s">
        <v>91</v>
      </c>
      <c r="G916" s="11">
        <v>613</v>
      </c>
      <c r="H916" s="11">
        <f t="shared" ref="H916:H921" si="303">33+33+33</f>
        <v>99</v>
      </c>
      <c r="I916" s="11">
        <f>59+63+50</f>
        <v>172</v>
      </c>
      <c r="J916" s="1" t="s">
        <v>1685</v>
      </c>
    </row>
    <row r="917" spans="1:10" ht="48">
      <c r="A917" s="1">
        <v>2023</v>
      </c>
      <c r="B917" s="1" t="s">
        <v>9</v>
      </c>
      <c r="C917" s="1" t="s">
        <v>92</v>
      </c>
      <c r="D917" s="1" t="s">
        <v>1769</v>
      </c>
      <c r="E917" s="1" t="s">
        <v>1575</v>
      </c>
      <c r="F917" s="1" t="s">
        <v>91</v>
      </c>
      <c r="G917" s="11">
        <v>614</v>
      </c>
      <c r="H917" s="11">
        <f t="shared" si="303"/>
        <v>99</v>
      </c>
      <c r="I917" s="11">
        <f>74+65+38</f>
        <v>177</v>
      </c>
      <c r="J917" s="1" t="s">
        <v>1685</v>
      </c>
    </row>
    <row r="918" spans="1:10" ht="48">
      <c r="A918" s="1">
        <v>2023</v>
      </c>
      <c r="B918" s="1" t="s">
        <v>9</v>
      </c>
      <c r="C918" s="1" t="s">
        <v>92</v>
      </c>
      <c r="D918" s="1" t="s">
        <v>1769</v>
      </c>
      <c r="E918" s="1" t="s">
        <v>1575</v>
      </c>
      <c r="F918" s="1" t="s">
        <v>91</v>
      </c>
      <c r="G918" s="11">
        <v>613</v>
      </c>
      <c r="H918" s="11">
        <f t="shared" si="303"/>
        <v>99</v>
      </c>
      <c r="I918" s="11">
        <f>80+70+29</f>
        <v>179</v>
      </c>
      <c r="J918" s="1" t="s">
        <v>1685</v>
      </c>
    </row>
    <row r="919" spans="1:10" ht="48">
      <c r="A919" s="1">
        <v>2023</v>
      </c>
      <c r="B919" s="1" t="s">
        <v>9</v>
      </c>
      <c r="C919" s="1" t="s">
        <v>92</v>
      </c>
      <c r="D919" s="1" t="s">
        <v>1769</v>
      </c>
      <c r="E919" s="1" t="s">
        <v>1776</v>
      </c>
      <c r="F919" s="1" t="s">
        <v>1777</v>
      </c>
      <c r="G919" s="11">
        <v>3665</v>
      </c>
      <c r="H919" s="11">
        <f t="shared" si="303"/>
        <v>99</v>
      </c>
      <c r="I919" s="11">
        <f>320+229+100</f>
        <v>649</v>
      </c>
      <c r="J919" s="1" t="s">
        <v>1685</v>
      </c>
    </row>
    <row r="920" spans="1:10" ht="48">
      <c r="A920" s="1">
        <v>2023</v>
      </c>
      <c r="B920" s="1" t="s">
        <v>9</v>
      </c>
      <c r="C920" s="1" t="s">
        <v>92</v>
      </c>
      <c r="D920" s="1" t="s">
        <v>1769</v>
      </c>
      <c r="E920" s="1" t="s">
        <v>1575</v>
      </c>
      <c r="F920" s="1" t="s">
        <v>1576</v>
      </c>
      <c r="G920" s="11">
        <v>3665</v>
      </c>
      <c r="H920" s="11">
        <f t="shared" si="303"/>
        <v>99</v>
      </c>
      <c r="I920" s="11">
        <f>30+30+20</f>
        <v>80</v>
      </c>
      <c r="J920" s="1" t="s">
        <v>1685</v>
      </c>
    </row>
    <row r="921" spans="1:10" ht="48">
      <c r="A921" s="1">
        <v>2023</v>
      </c>
      <c r="B921" s="1" t="s">
        <v>9</v>
      </c>
      <c r="C921" s="1" t="s">
        <v>92</v>
      </c>
      <c r="D921" s="1" t="s">
        <v>1769</v>
      </c>
      <c r="E921" s="1" t="s">
        <v>1575</v>
      </c>
      <c r="F921" s="1" t="s">
        <v>1576</v>
      </c>
      <c r="G921" s="11">
        <v>3666</v>
      </c>
      <c r="H921" s="11">
        <f t="shared" si="303"/>
        <v>99</v>
      </c>
      <c r="I921" s="11">
        <f>30+20+20</f>
        <v>70</v>
      </c>
      <c r="J921" s="1" t="s">
        <v>1685</v>
      </c>
    </row>
    <row r="922" spans="1:10" ht="60">
      <c r="A922" s="1">
        <v>2023</v>
      </c>
      <c r="B922" s="1" t="s">
        <v>9</v>
      </c>
      <c r="C922" s="1" t="s">
        <v>92</v>
      </c>
      <c r="D922" s="1" t="s">
        <v>1778</v>
      </c>
      <c r="E922" s="1" t="s">
        <v>1779</v>
      </c>
      <c r="F922" s="1" t="s">
        <v>447</v>
      </c>
      <c r="G922" s="2">
        <v>0</v>
      </c>
      <c r="H922" s="3">
        <f t="shared" ref="H922:I922" si="304">0+0+100%</f>
        <v>1</v>
      </c>
      <c r="I922" s="3">
        <f t="shared" si="304"/>
        <v>1</v>
      </c>
      <c r="J922" s="1" t="s">
        <v>1780</v>
      </c>
    </row>
    <row r="923" spans="1:10" ht="48">
      <c r="A923" s="1">
        <v>2023</v>
      </c>
      <c r="B923" s="1" t="s">
        <v>9</v>
      </c>
      <c r="C923" s="1" t="s">
        <v>92</v>
      </c>
      <c r="D923" s="1" t="s">
        <v>1778</v>
      </c>
      <c r="E923" s="1" t="s">
        <v>1781</v>
      </c>
      <c r="F923" s="1" t="s">
        <v>447</v>
      </c>
      <c r="G923" s="2">
        <v>0</v>
      </c>
      <c r="H923" s="3">
        <f t="shared" ref="H923:I923" si="305">0+0+100%</f>
        <v>1</v>
      </c>
      <c r="I923" s="3">
        <f t="shared" si="305"/>
        <v>1</v>
      </c>
      <c r="J923" s="1" t="s">
        <v>1780</v>
      </c>
    </row>
    <row r="924" spans="1:10" ht="48">
      <c r="A924" s="1">
        <v>2023</v>
      </c>
      <c r="B924" s="1" t="s">
        <v>9</v>
      </c>
      <c r="C924" s="1" t="s">
        <v>92</v>
      </c>
      <c r="D924" s="1" t="s">
        <v>1778</v>
      </c>
      <c r="E924" s="1" t="s">
        <v>1782</v>
      </c>
      <c r="F924" s="1" t="s">
        <v>1783</v>
      </c>
      <c r="G924" s="2">
        <v>18</v>
      </c>
      <c r="H924" s="4">
        <f>6.6%+6.6%+6.6%</f>
        <v>0.19800000000000001</v>
      </c>
      <c r="I924" s="3">
        <f t="shared" ref="I924:I925" si="306">0%+0%+0%</f>
        <v>0</v>
      </c>
      <c r="J924" s="1" t="s">
        <v>1780</v>
      </c>
    </row>
    <row r="925" spans="1:10" ht="48">
      <c r="A925" s="1">
        <v>2023</v>
      </c>
      <c r="B925" s="1" t="s">
        <v>9</v>
      </c>
      <c r="C925" s="1" t="s">
        <v>92</v>
      </c>
      <c r="D925" s="1" t="s">
        <v>1778</v>
      </c>
      <c r="E925" s="1" t="s">
        <v>1784</v>
      </c>
      <c r="F925" s="1" t="s">
        <v>1785</v>
      </c>
      <c r="G925" s="2">
        <v>600</v>
      </c>
      <c r="H925" s="4">
        <f>79.2%+71.5%+55%</f>
        <v>2.0570000000000004</v>
      </c>
      <c r="I925" s="3">
        <f t="shared" si="306"/>
        <v>0</v>
      </c>
      <c r="J925" s="1" t="s">
        <v>1780</v>
      </c>
    </row>
    <row r="926" spans="1:10" ht="48">
      <c r="A926" s="1">
        <v>2023</v>
      </c>
      <c r="B926" s="1" t="s">
        <v>9</v>
      </c>
      <c r="C926" s="1" t="s">
        <v>92</v>
      </c>
      <c r="D926" s="1" t="s">
        <v>1778</v>
      </c>
      <c r="E926" s="1" t="s">
        <v>1786</v>
      </c>
      <c r="F926" s="1" t="s">
        <v>1787</v>
      </c>
      <c r="G926" s="2">
        <v>34</v>
      </c>
      <c r="H926" s="4">
        <f>8.69%+8.69%+4.3%</f>
        <v>0.21679999999999999</v>
      </c>
      <c r="I926" s="4">
        <f>14.7%+11.7%+8.8%</f>
        <v>0.35200000000000004</v>
      </c>
      <c r="J926" s="1" t="s">
        <v>1780</v>
      </c>
    </row>
    <row r="927" spans="1:10" ht="48">
      <c r="A927" s="1">
        <v>2023</v>
      </c>
      <c r="B927" s="1" t="s">
        <v>9</v>
      </c>
      <c r="C927" s="1" t="s">
        <v>92</v>
      </c>
      <c r="D927" s="1" t="s">
        <v>1778</v>
      </c>
      <c r="E927" s="1" t="s">
        <v>1788</v>
      </c>
      <c r="F927" s="1" t="s">
        <v>1789</v>
      </c>
      <c r="G927" s="11">
        <v>4400</v>
      </c>
      <c r="H927" s="4">
        <f>9.3%+9.3%+4.6%</f>
        <v>0.23200000000000004</v>
      </c>
      <c r="I927" s="4">
        <f>11.3%+9%+6.8%</f>
        <v>0.27100000000000002</v>
      </c>
      <c r="J927" s="1" t="s">
        <v>1780</v>
      </c>
    </row>
    <row r="928" spans="1:10" ht="48">
      <c r="A928" s="1">
        <v>2023</v>
      </c>
      <c r="B928" s="1" t="s">
        <v>9</v>
      </c>
      <c r="C928" s="1" t="s">
        <v>92</v>
      </c>
      <c r="D928" s="1" t="s">
        <v>1778</v>
      </c>
      <c r="E928" s="1" t="s">
        <v>1790</v>
      </c>
      <c r="F928" s="1" t="s">
        <v>1791</v>
      </c>
      <c r="G928" s="2">
        <v>11</v>
      </c>
      <c r="H928" s="4">
        <f>7.1%+7.1%+7.1%</f>
        <v>0.21299999999999997</v>
      </c>
      <c r="I928" s="4">
        <f>9%+18.1%+9%</f>
        <v>0.36099999999999999</v>
      </c>
      <c r="J928" s="1" t="s">
        <v>1780</v>
      </c>
    </row>
    <row r="929" spans="1:10" ht="48">
      <c r="A929" s="1">
        <v>2023</v>
      </c>
      <c r="B929" s="1" t="s">
        <v>9</v>
      </c>
      <c r="C929" s="1" t="s">
        <v>92</v>
      </c>
      <c r="D929" s="1" t="s">
        <v>1778</v>
      </c>
      <c r="E929" s="1" t="s">
        <v>1792</v>
      </c>
      <c r="F929" s="1" t="s">
        <v>1793</v>
      </c>
      <c r="G929" s="5">
        <v>4</v>
      </c>
      <c r="H929" s="11">
        <f t="shared" ref="H929:H933" si="307">1+0+0</f>
        <v>1</v>
      </c>
      <c r="I929" s="11">
        <f t="shared" ref="I929:I934" si="308">0+0+0</f>
        <v>0</v>
      </c>
      <c r="J929" s="1" t="s">
        <v>1780</v>
      </c>
    </row>
    <row r="930" spans="1:10" ht="48">
      <c r="A930" s="1">
        <v>2023</v>
      </c>
      <c r="B930" s="1" t="s">
        <v>9</v>
      </c>
      <c r="C930" s="1" t="s">
        <v>92</v>
      </c>
      <c r="D930" s="1" t="s">
        <v>1778</v>
      </c>
      <c r="E930" s="1" t="s">
        <v>1794</v>
      </c>
      <c r="F930" s="1" t="s">
        <v>1793</v>
      </c>
      <c r="G930" s="5">
        <v>4</v>
      </c>
      <c r="H930" s="11">
        <f t="shared" si="307"/>
        <v>1</v>
      </c>
      <c r="I930" s="11">
        <f t="shared" si="308"/>
        <v>0</v>
      </c>
      <c r="J930" s="1" t="s">
        <v>1780</v>
      </c>
    </row>
    <row r="931" spans="1:10" ht="48">
      <c r="A931" s="1">
        <v>2023</v>
      </c>
      <c r="B931" s="1" t="s">
        <v>9</v>
      </c>
      <c r="C931" s="1" t="s">
        <v>92</v>
      </c>
      <c r="D931" s="1" t="s">
        <v>1778</v>
      </c>
      <c r="E931" s="1" t="s">
        <v>1795</v>
      </c>
      <c r="F931" s="1" t="s">
        <v>1796</v>
      </c>
      <c r="G931" s="5">
        <v>4</v>
      </c>
      <c r="H931" s="11">
        <f t="shared" si="307"/>
        <v>1</v>
      </c>
      <c r="I931" s="11">
        <f t="shared" si="308"/>
        <v>0</v>
      </c>
      <c r="J931" s="1" t="s">
        <v>1780</v>
      </c>
    </row>
    <row r="932" spans="1:10" ht="60">
      <c r="A932" s="1">
        <v>2023</v>
      </c>
      <c r="B932" s="1" t="s">
        <v>9</v>
      </c>
      <c r="C932" s="1" t="s">
        <v>92</v>
      </c>
      <c r="D932" s="1" t="s">
        <v>1778</v>
      </c>
      <c r="E932" s="1" t="s">
        <v>1797</v>
      </c>
      <c r="F932" s="1" t="s">
        <v>1793</v>
      </c>
      <c r="G932" s="5">
        <v>4</v>
      </c>
      <c r="H932" s="11">
        <f t="shared" si="307"/>
        <v>1</v>
      </c>
      <c r="I932" s="11">
        <f t="shared" si="308"/>
        <v>0</v>
      </c>
      <c r="J932" s="1" t="s">
        <v>1780</v>
      </c>
    </row>
    <row r="933" spans="1:10" ht="60">
      <c r="A933" s="1">
        <v>2023</v>
      </c>
      <c r="B933" s="1" t="s">
        <v>9</v>
      </c>
      <c r="C933" s="1" t="s">
        <v>92</v>
      </c>
      <c r="D933" s="1" t="s">
        <v>1778</v>
      </c>
      <c r="E933" s="1" t="s">
        <v>1798</v>
      </c>
      <c r="F933" s="1" t="s">
        <v>322</v>
      </c>
      <c r="G933" s="5">
        <v>4</v>
      </c>
      <c r="H933" s="11">
        <f t="shared" si="307"/>
        <v>1</v>
      </c>
      <c r="I933" s="11">
        <f t="shared" si="308"/>
        <v>0</v>
      </c>
      <c r="J933" s="1" t="s">
        <v>1780</v>
      </c>
    </row>
    <row r="934" spans="1:10" ht="48">
      <c r="A934" s="1">
        <v>2023</v>
      </c>
      <c r="B934" s="1" t="s">
        <v>9</v>
      </c>
      <c r="C934" s="1" t="s">
        <v>92</v>
      </c>
      <c r="D934" s="1" t="s">
        <v>1778</v>
      </c>
      <c r="E934" s="1" t="s">
        <v>1799</v>
      </c>
      <c r="F934" s="1" t="s">
        <v>1775</v>
      </c>
      <c r="G934" s="11">
        <v>600</v>
      </c>
      <c r="H934" s="11">
        <f>627+511+421</f>
        <v>1559</v>
      </c>
      <c r="I934" s="11">
        <f t="shared" si="308"/>
        <v>0</v>
      </c>
      <c r="J934" s="1" t="s">
        <v>1780</v>
      </c>
    </row>
    <row r="935" spans="1:10" ht="60">
      <c r="A935" s="1">
        <v>2023</v>
      </c>
      <c r="B935" s="1" t="s">
        <v>9</v>
      </c>
      <c r="C935" s="1" t="s">
        <v>92</v>
      </c>
      <c r="D935" s="1" t="s">
        <v>1778</v>
      </c>
      <c r="E935" s="1" t="s">
        <v>1800</v>
      </c>
      <c r="F935" s="1" t="s">
        <v>1801</v>
      </c>
      <c r="G935" s="11">
        <v>17</v>
      </c>
      <c r="H935" s="11">
        <f t="shared" ref="H935:H936" si="309">1+2+1</f>
        <v>4</v>
      </c>
      <c r="I935" s="11">
        <f>3+4+3</f>
        <v>10</v>
      </c>
      <c r="J935" s="1" t="s">
        <v>1780</v>
      </c>
    </row>
    <row r="936" spans="1:10" ht="48">
      <c r="A936" s="1">
        <v>2023</v>
      </c>
      <c r="B936" s="1" t="s">
        <v>9</v>
      </c>
      <c r="C936" s="1" t="s">
        <v>92</v>
      </c>
      <c r="D936" s="1" t="s">
        <v>1778</v>
      </c>
      <c r="E936" s="1" t="s">
        <v>1802</v>
      </c>
      <c r="F936" s="1" t="s">
        <v>1801</v>
      </c>
      <c r="G936" s="11">
        <v>17</v>
      </c>
      <c r="H936" s="11">
        <f t="shared" si="309"/>
        <v>4</v>
      </c>
      <c r="I936" s="11">
        <f>2+0+1</f>
        <v>3</v>
      </c>
      <c r="J936" s="1" t="s">
        <v>1780</v>
      </c>
    </row>
    <row r="937" spans="1:10" ht="48">
      <c r="A937" s="1">
        <v>2023</v>
      </c>
      <c r="B937" s="1" t="s">
        <v>9</v>
      </c>
      <c r="C937" s="1" t="s">
        <v>92</v>
      </c>
      <c r="D937" s="1" t="s">
        <v>1778</v>
      </c>
      <c r="E937" s="1" t="s">
        <v>1803</v>
      </c>
      <c r="F937" s="1" t="s">
        <v>1804</v>
      </c>
      <c r="G937" s="11">
        <v>4400</v>
      </c>
      <c r="H937" s="11">
        <f>400+400+500</f>
        <v>1300</v>
      </c>
      <c r="I937" s="11">
        <f>500+400+300</f>
        <v>1200</v>
      </c>
      <c r="J937" s="1" t="s">
        <v>1780</v>
      </c>
    </row>
    <row r="938" spans="1:10" ht="48">
      <c r="A938" s="1">
        <v>2023</v>
      </c>
      <c r="B938" s="1" t="s">
        <v>9</v>
      </c>
      <c r="C938" s="1" t="s">
        <v>92</v>
      </c>
      <c r="D938" s="1" t="s">
        <v>1778</v>
      </c>
      <c r="E938" s="1" t="s">
        <v>1805</v>
      </c>
      <c r="F938" s="1" t="s">
        <v>1806</v>
      </c>
      <c r="G938" s="11">
        <v>6</v>
      </c>
      <c r="H938" s="11">
        <f t="shared" ref="H938:H939" si="310">1+0+0</f>
        <v>1</v>
      </c>
      <c r="I938" s="11">
        <f>0+1+1</f>
        <v>2</v>
      </c>
      <c r="J938" s="1" t="s">
        <v>1780</v>
      </c>
    </row>
    <row r="939" spans="1:10" ht="48">
      <c r="A939" s="1">
        <v>2023</v>
      </c>
      <c r="B939" s="1" t="s">
        <v>9</v>
      </c>
      <c r="C939" s="1" t="s">
        <v>92</v>
      </c>
      <c r="D939" s="1" t="s">
        <v>1778</v>
      </c>
      <c r="E939" s="1" t="s">
        <v>1807</v>
      </c>
      <c r="F939" s="1" t="s">
        <v>1808</v>
      </c>
      <c r="G939" s="11">
        <v>6</v>
      </c>
      <c r="H939" s="11">
        <f t="shared" si="310"/>
        <v>1</v>
      </c>
      <c r="I939" s="11">
        <f>1+1+0</f>
        <v>2</v>
      </c>
      <c r="J939" s="1" t="s">
        <v>1780</v>
      </c>
    </row>
    <row r="940" spans="1:10" ht="48">
      <c r="A940" s="1">
        <v>2023</v>
      </c>
      <c r="B940" s="1" t="s">
        <v>9</v>
      </c>
      <c r="C940" s="1" t="s">
        <v>92</v>
      </c>
      <c r="D940" s="1" t="s">
        <v>1809</v>
      </c>
      <c r="E940" s="1" t="s">
        <v>1810</v>
      </c>
      <c r="F940" s="1" t="s">
        <v>1811</v>
      </c>
      <c r="G940" s="2">
        <v>0</v>
      </c>
      <c r="H940" s="3">
        <f t="shared" ref="H940:I940" si="311">0+0+100%</f>
        <v>1</v>
      </c>
      <c r="I940" s="3">
        <f t="shared" si="311"/>
        <v>1</v>
      </c>
      <c r="J940" s="1" t="s">
        <v>1780</v>
      </c>
    </row>
    <row r="941" spans="1:10" ht="48">
      <c r="A941" s="1">
        <v>2023</v>
      </c>
      <c r="B941" s="1" t="s">
        <v>9</v>
      </c>
      <c r="C941" s="1" t="s">
        <v>92</v>
      </c>
      <c r="D941" s="1" t="s">
        <v>1809</v>
      </c>
      <c r="E941" s="1" t="s">
        <v>1812</v>
      </c>
      <c r="F941" s="1" t="s">
        <v>1813</v>
      </c>
      <c r="G941" s="2">
        <v>0</v>
      </c>
      <c r="H941" s="3">
        <f t="shared" ref="H941:I941" si="312">0+0+100%</f>
        <v>1</v>
      </c>
      <c r="I941" s="3">
        <f t="shared" si="312"/>
        <v>1</v>
      </c>
      <c r="J941" s="1" t="s">
        <v>1780</v>
      </c>
    </row>
    <row r="942" spans="1:10" ht="48">
      <c r="A942" s="1">
        <v>2023</v>
      </c>
      <c r="B942" s="1" t="s">
        <v>9</v>
      </c>
      <c r="C942" s="1" t="s">
        <v>92</v>
      </c>
      <c r="D942" s="1" t="s">
        <v>1809</v>
      </c>
      <c r="E942" s="1" t="s">
        <v>1814</v>
      </c>
      <c r="F942" s="1" t="s">
        <v>1815</v>
      </c>
      <c r="G942" s="2">
        <v>78</v>
      </c>
      <c r="H942" s="4">
        <f>7.1%+7.1%+7.1%</f>
        <v>0.21299999999999997</v>
      </c>
      <c r="I942" s="3">
        <f>13.7%+13.7%+3.6%</f>
        <v>0.30999999999999994</v>
      </c>
      <c r="J942" s="1" t="s">
        <v>1780</v>
      </c>
    </row>
    <row r="943" spans="1:10" ht="48">
      <c r="A943" s="1">
        <v>2023</v>
      </c>
      <c r="B943" s="1" t="s">
        <v>9</v>
      </c>
      <c r="C943" s="1" t="s">
        <v>92</v>
      </c>
      <c r="D943" s="1" t="s">
        <v>1809</v>
      </c>
      <c r="E943" s="1" t="s">
        <v>1816</v>
      </c>
      <c r="F943" s="1" t="s">
        <v>1785</v>
      </c>
      <c r="G943" s="11">
        <v>10000</v>
      </c>
      <c r="H943" s="4">
        <f>90%+90%+30%</f>
        <v>2.1</v>
      </c>
      <c r="I943" s="3">
        <f>27.9%+23.1%+4.6%</f>
        <v>0.55600000000000005</v>
      </c>
      <c r="J943" s="1" t="s">
        <v>1780</v>
      </c>
    </row>
    <row r="944" spans="1:10" ht="48">
      <c r="A944" s="1">
        <v>2023</v>
      </c>
      <c r="B944" s="1" t="s">
        <v>9</v>
      </c>
      <c r="C944" s="1" t="s">
        <v>92</v>
      </c>
      <c r="D944" s="1" t="s">
        <v>1809</v>
      </c>
      <c r="E944" s="1" t="s">
        <v>1817</v>
      </c>
      <c r="F944" s="1" t="s">
        <v>1818</v>
      </c>
      <c r="G944" s="2">
        <v>15</v>
      </c>
      <c r="H944" s="4">
        <f>5.88%+5.88%+5.88%</f>
        <v>0.1764</v>
      </c>
      <c r="I944" s="3">
        <f>13%+10%+5%</f>
        <v>0.28000000000000003</v>
      </c>
      <c r="J944" s="1" t="s">
        <v>1780</v>
      </c>
    </row>
    <row r="945" spans="1:10" ht="60">
      <c r="A945" s="1">
        <v>2023</v>
      </c>
      <c r="B945" s="1" t="s">
        <v>9</v>
      </c>
      <c r="C945" s="1" t="s">
        <v>92</v>
      </c>
      <c r="D945" s="1" t="s">
        <v>1809</v>
      </c>
      <c r="E945" s="1" t="s">
        <v>1819</v>
      </c>
      <c r="F945" s="1" t="s">
        <v>1820</v>
      </c>
      <c r="G945" s="2">
        <v>3</v>
      </c>
      <c r="H945" s="4">
        <f>14.28%+0%+0%</f>
        <v>0.14279999999999998</v>
      </c>
      <c r="I945" s="3">
        <f>33.3%+33.33%+0%</f>
        <v>0.66629999999999989</v>
      </c>
      <c r="J945" s="1" t="s">
        <v>1780</v>
      </c>
    </row>
    <row r="946" spans="1:10" ht="48">
      <c r="A946" s="1">
        <v>2023</v>
      </c>
      <c r="B946" s="1" t="s">
        <v>9</v>
      </c>
      <c r="C946" s="1" t="s">
        <v>92</v>
      </c>
      <c r="D946" s="1" t="s">
        <v>1809</v>
      </c>
      <c r="E946" s="1" t="s">
        <v>1821</v>
      </c>
      <c r="F946" s="1" t="s">
        <v>1822</v>
      </c>
      <c r="G946" s="11">
        <v>1000</v>
      </c>
      <c r="H946" s="4">
        <f>18.18%+0%+0%</f>
        <v>0.18179999999999999</v>
      </c>
      <c r="I946" s="3">
        <f>8%+0%+0%</f>
        <v>0.08</v>
      </c>
      <c r="J946" s="1" t="s">
        <v>1780</v>
      </c>
    </row>
    <row r="947" spans="1:10" ht="48">
      <c r="A947" s="1">
        <v>2023</v>
      </c>
      <c r="B947" s="1" t="s">
        <v>9</v>
      </c>
      <c r="C947" s="1" t="s">
        <v>92</v>
      </c>
      <c r="D947" s="1" t="s">
        <v>1809</v>
      </c>
      <c r="E947" s="1" t="s">
        <v>1823</v>
      </c>
      <c r="F947" s="1" t="s">
        <v>1824</v>
      </c>
      <c r="G947" s="11">
        <v>16</v>
      </c>
      <c r="H947" s="5">
        <f t="shared" ref="H947:H951" si="313">1+2+0</f>
        <v>3</v>
      </c>
      <c r="I947" s="11">
        <f>0+0+0</f>
        <v>0</v>
      </c>
      <c r="J947" s="1" t="s">
        <v>1780</v>
      </c>
    </row>
    <row r="948" spans="1:10" ht="48">
      <c r="A948" s="1">
        <v>2023</v>
      </c>
      <c r="B948" s="1" t="s">
        <v>9</v>
      </c>
      <c r="C948" s="1" t="s">
        <v>92</v>
      </c>
      <c r="D948" s="1" t="s">
        <v>1809</v>
      </c>
      <c r="E948" s="1" t="s">
        <v>1825</v>
      </c>
      <c r="F948" s="1" t="s">
        <v>1826</v>
      </c>
      <c r="G948" s="11">
        <v>16</v>
      </c>
      <c r="H948" s="5">
        <f t="shared" si="313"/>
        <v>3</v>
      </c>
      <c r="I948" s="11">
        <f>5+4+1</f>
        <v>10</v>
      </c>
      <c r="J948" s="1" t="s">
        <v>1780</v>
      </c>
    </row>
    <row r="949" spans="1:10" ht="48">
      <c r="A949" s="1">
        <v>2023</v>
      </c>
      <c r="B949" s="1" t="s">
        <v>9</v>
      </c>
      <c r="C949" s="1" t="s">
        <v>92</v>
      </c>
      <c r="D949" s="1" t="s">
        <v>1809</v>
      </c>
      <c r="E949" s="1" t="s">
        <v>1827</v>
      </c>
      <c r="F949" s="1" t="s">
        <v>1828</v>
      </c>
      <c r="G949" s="11">
        <v>16</v>
      </c>
      <c r="H949" s="5">
        <f t="shared" si="313"/>
        <v>3</v>
      </c>
      <c r="I949" s="11">
        <f>5+5+2</f>
        <v>12</v>
      </c>
      <c r="J949" s="1" t="s">
        <v>1780</v>
      </c>
    </row>
    <row r="950" spans="1:10" ht="60">
      <c r="A950" s="1">
        <v>2023</v>
      </c>
      <c r="B950" s="1" t="s">
        <v>9</v>
      </c>
      <c r="C950" s="1" t="s">
        <v>92</v>
      </c>
      <c r="D950" s="1" t="s">
        <v>1809</v>
      </c>
      <c r="E950" s="1" t="s">
        <v>1829</v>
      </c>
      <c r="F950" s="1" t="s">
        <v>1830</v>
      </c>
      <c r="G950" s="11">
        <v>16</v>
      </c>
      <c r="H950" s="5">
        <f t="shared" si="313"/>
        <v>3</v>
      </c>
      <c r="I950" s="11">
        <f>4+5+1</f>
        <v>10</v>
      </c>
      <c r="J950" s="1" t="s">
        <v>1780</v>
      </c>
    </row>
    <row r="951" spans="1:10" ht="48">
      <c r="A951" s="1">
        <v>2023</v>
      </c>
      <c r="B951" s="1" t="s">
        <v>9</v>
      </c>
      <c r="C951" s="1" t="s">
        <v>92</v>
      </c>
      <c r="D951" s="1" t="s">
        <v>1809</v>
      </c>
      <c r="E951" s="1" t="s">
        <v>1831</v>
      </c>
      <c r="F951" s="1" t="s">
        <v>1832</v>
      </c>
      <c r="G951" s="11">
        <v>16</v>
      </c>
      <c r="H951" s="5">
        <f t="shared" si="313"/>
        <v>3</v>
      </c>
      <c r="I951" s="11">
        <f>5+5+1</f>
        <v>11</v>
      </c>
      <c r="J951" s="1" t="s">
        <v>1780</v>
      </c>
    </row>
    <row r="952" spans="1:10" ht="48">
      <c r="A952" s="1">
        <v>2023</v>
      </c>
      <c r="B952" s="1" t="s">
        <v>9</v>
      </c>
      <c r="C952" s="1" t="s">
        <v>92</v>
      </c>
      <c r="D952" s="1" t="s">
        <v>1809</v>
      </c>
      <c r="E952" s="1" t="s">
        <v>1833</v>
      </c>
      <c r="F952" s="1" t="s">
        <v>1834</v>
      </c>
      <c r="G952" s="11">
        <v>10000</v>
      </c>
      <c r="H952" s="5">
        <f>8200+7900+2122</f>
        <v>18222</v>
      </c>
      <c r="I952" s="11">
        <f>2797+2311+467</f>
        <v>5575</v>
      </c>
      <c r="J952" s="1" t="s">
        <v>1780</v>
      </c>
    </row>
    <row r="953" spans="1:10" ht="48">
      <c r="A953" s="1">
        <v>2023</v>
      </c>
      <c r="B953" s="1" t="s">
        <v>9</v>
      </c>
      <c r="C953" s="1" t="s">
        <v>92</v>
      </c>
      <c r="D953" s="1" t="s">
        <v>1809</v>
      </c>
      <c r="E953" s="1" t="s">
        <v>1835</v>
      </c>
      <c r="F953" s="1" t="s">
        <v>1836</v>
      </c>
      <c r="G953" s="11">
        <v>8</v>
      </c>
      <c r="H953" s="5">
        <f t="shared" ref="H953:H954" si="314">1+0+0</f>
        <v>1</v>
      </c>
      <c r="I953" s="11">
        <f>1+1+1</f>
        <v>3</v>
      </c>
      <c r="J953" s="1" t="s">
        <v>1780</v>
      </c>
    </row>
    <row r="954" spans="1:10" ht="60">
      <c r="A954" s="1">
        <v>2023</v>
      </c>
      <c r="B954" s="1" t="s">
        <v>9</v>
      </c>
      <c r="C954" s="1" t="s">
        <v>92</v>
      </c>
      <c r="D954" s="1" t="s">
        <v>1809</v>
      </c>
      <c r="E954" s="1" t="s">
        <v>1837</v>
      </c>
      <c r="F954" s="1" t="s">
        <v>1838</v>
      </c>
      <c r="G954" s="11">
        <v>8</v>
      </c>
      <c r="H954" s="5">
        <f t="shared" si="314"/>
        <v>1</v>
      </c>
      <c r="I954" s="11">
        <f>2+1+0</f>
        <v>3</v>
      </c>
      <c r="J954" s="1" t="s">
        <v>1780</v>
      </c>
    </row>
    <row r="955" spans="1:10" ht="48">
      <c r="A955" s="1">
        <v>2023</v>
      </c>
      <c r="B955" s="1" t="s">
        <v>9</v>
      </c>
      <c r="C955" s="1" t="s">
        <v>92</v>
      </c>
      <c r="D955" s="1" t="s">
        <v>1809</v>
      </c>
      <c r="E955" s="1" t="s">
        <v>1839</v>
      </c>
      <c r="F955" s="1" t="s">
        <v>1840</v>
      </c>
      <c r="G955" s="11">
        <v>2</v>
      </c>
      <c r="H955" s="5">
        <f t="shared" ref="H955:H956" si="315">0+1+0</f>
        <v>1</v>
      </c>
      <c r="I955" s="11">
        <f>1+0+0</f>
        <v>1</v>
      </c>
      <c r="J955" s="1" t="s">
        <v>1780</v>
      </c>
    </row>
    <row r="956" spans="1:10" ht="48">
      <c r="A956" s="1">
        <v>2023</v>
      </c>
      <c r="B956" s="1" t="s">
        <v>9</v>
      </c>
      <c r="C956" s="1" t="s">
        <v>92</v>
      </c>
      <c r="D956" s="1" t="s">
        <v>1809</v>
      </c>
      <c r="E956" s="1" t="s">
        <v>1841</v>
      </c>
      <c r="F956" s="1" t="s">
        <v>1842</v>
      </c>
      <c r="G956" s="11">
        <v>2</v>
      </c>
      <c r="H956" s="5">
        <f t="shared" si="315"/>
        <v>1</v>
      </c>
      <c r="I956" s="11">
        <f>0+1+0</f>
        <v>1</v>
      </c>
      <c r="J956" s="1" t="s">
        <v>1780</v>
      </c>
    </row>
    <row r="957" spans="1:10" ht="48">
      <c r="A957" s="1">
        <v>2023</v>
      </c>
      <c r="B957" s="1" t="s">
        <v>9</v>
      </c>
      <c r="C957" s="1" t="s">
        <v>92</v>
      </c>
      <c r="D957" s="1" t="s">
        <v>1809</v>
      </c>
      <c r="E957" s="1" t="s">
        <v>1843</v>
      </c>
      <c r="F957" s="1" t="s">
        <v>1844</v>
      </c>
      <c r="G957" s="11">
        <v>1000</v>
      </c>
      <c r="H957" s="5">
        <f>5+80+90</f>
        <v>175</v>
      </c>
      <c r="I957" s="11">
        <f>80+0+0</f>
        <v>80</v>
      </c>
      <c r="J957" s="1" t="s">
        <v>1780</v>
      </c>
    </row>
    <row r="958" spans="1:10" ht="48">
      <c r="A958" s="1">
        <v>2023</v>
      </c>
      <c r="B958" s="1" t="s">
        <v>9</v>
      </c>
      <c r="C958" s="1" t="s">
        <v>92</v>
      </c>
      <c r="D958" s="1" t="s">
        <v>1845</v>
      </c>
      <c r="E958" s="1" t="s">
        <v>1846</v>
      </c>
      <c r="F958" s="1" t="s">
        <v>1681</v>
      </c>
      <c r="G958" s="2">
        <v>0</v>
      </c>
      <c r="H958" s="3">
        <f t="shared" ref="H958:I958" si="316">0+0+100%</f>
        <v>1</v>
      </c>
      <c r="I958" s="3">
        <f t="shared" si="316"/>
        <v>1</v>
      </c>
      <c r="J958" s="1" t="s">
        <v>1780</v>
      </c>
    </row>
    <row r="959" spans="1:10" ht="48">
      <c r="A959" s="1">
        <v>2023</v>
      </c>
      <c r="B959" s="1" t="s">
        <v>9</v>
      </c>
      <c r="C959" s="1" t="s">
        <v>92</v>
      </c>
      <c r="D959" s="1" t="s">
        <v>1845</v>
      </c>
      <c r="E959" s="1" t="s">
        <v>1847</v>
      </c>
      <c r="F959" s="1" t="s">
        <v>1848</v>
      </c>
      <c r="G959" s="2">
        <v>0</v>
      </c>
      <c r="H959" s="3">
        <f t="shared" ref="H959:I959" si="317">0+0+100%</f>
        <v>1</v>
      </c>
      <c r="I959" s="3">
        <f t="shared" si="317"/>
        <v>1</v>
      </c>
      <c r="J959" s="1" t="s">
        <v>1780</v>
      </c>
    </row>
    <row r="960" spans="1:10" ht="48">
      <c r="A960" s="1">
        <v>2023</v>
      </c>
      <c r="B960" s="1" t="s">
        <v>9</v>
      </c>
      <c r="C960" s="1" t="s">
        <v>92</v>
      </c>
      <c r="D960" s="1" t="s">
        <v>1845</v>
      </c>
      <c r="E960" s="1" t="s">
        <v>1849</v>
      </c>
      <c r="F960" s="1" t="s">
        <v>1850</v>
      </c>
      <c r="G960" s="2">
        <v>50</v>
      </c>
      <c r="H960" s="4">
        <f>8.75%+8.75%+6.25%</f>
        <v>0.23749999999999999</v>
      </c>
      <c r="I960" s="4">
        <f>18%+18%+2%</f>
        <v>0.38</v>
      </c>
      <c r="J960" s="1" t="s">
        <v>1780</v>
      </c>
    </row>
    <row r="961" spans="1:10" ht="48">
      <c r="A961" s="1">
        <v>2023</v>
      </c>
      <c r="B961" s="1" t="s">
        <v>9</v>
      </c>
      <c r="C961" s="1" t="s">
        <v>92</v>
      </c>
      <c r="D961" s="1" t="s">
        <v>1845</v>
      </c>
      <c r="E961" s="1" t="s">
        <v>1851</v>
      </c>
      <c r="F961" s="1" t="s">
        <v>1785</v>
      </c>
      <c r="G961" s="11">
        <v>6000</v>
      </c>
      <c r="H961" s="4">
        <f>9.52%+9.52%+2.38%</f>
        <v>0.21419999999999997</v>
      </c>
      <c r="I961" s="4">
        <f>30.2%+13.5%+10.8%</f>
        <v>0.54500000000000004</v>
      </c>
      <c r="J961" s="1" t="s">
        <v>1780</v>
      </c>
    </row>
    <row r="962" spans="1:10" ht="48">
      <c r="A962" s="1">
        <v>2023</v>
      </c>
      <c r="B962" s="1" t="s">
        <v>9</v>
      </c>
      <c r="C962" s="1" t="s">
        <v>92</v>
      </c>
      <c r="D962" s="1" t="s">
        <v>1845</v>
      </c>
      <c r="E962" s="1" t="s">
        <v>1852</v>
      </c>
      <c r="F962" s="1" t="s">
        <v>1853</v>
      </c>
      <c r="G962" s="2">
        <v>7</v>
      </c>
      <c r="H962" s="4">
        <f>12.5%+12.5%+12.5%</f>
        <v>0.375</v>
      </c>
      <c r="I962" s="4">
        <f>28.5%+28.5%+14.2%</f>
        <v>0.71199999999999997</v>
      </c>
      <c r="J962" s="1" t="s">
        <v>1780</v>
      </c>
    </row>
    <row r="963" spans="1:10" ht="48">
      <c r="A963" s="1">
        <v>2023</v>
      </c>
      <c r="B963" s="1" t="s">
        <v>9</v>
      </c>
      <c r="C963" s="1" t="s">
        <v>92</v>
      </c>
      <c r="D963" s="1" t="s">
        <v>1845</v>
      </c>
      <c r="E963" s="1" t="s">
        <v>1854</v>
      </c>
      <c r="F963" s="1" t="s">
        <v>1855</v>
      </c>
      <c r="G963" s="2">
        <v>500</v>
      </c>
      <c r="H963" s="3">
        <f>0%+0%+0%</f>
        <v>0</v>
      </c>
      <c r="I963" s="4">
        <f>1%+1%+4.4%</f>
        <v>6.4000000000000001E-2</v>
      </c>
      <c r="J963" s="1" t="s">
        <v>1780</v>
      </c>
    </row>
    <row r="964" spans="1:10" ht="48">
      <c r="A964" s="1">
        <v>2023</v>
      </c>
      <c r="B964" s="1" t="s">
        <v>9</v>
      </c>
      <c r="C964" s="1" t="s">
        <v>92</v>
      </c>
      <c r="D964" s="1" t="s">
        <v>1845</v>
      </c>
      <c r="E964" s="1" t="s">
        <v>1856</v>
      </c>
      <c r="F964" s="1" t="s">
        <v>59</v>
      </c>
      <c r="G964" s="2">
        <v>3</v>
      </c>
      <c r="H964" s="3">
        <f>0%+20%+0%</f>
        <v>0.2</v>
      </c>
      <c r="I964" s="4">
        <f>0%+33.3%+0%</f>
        <v>0.33299999999999996</v>
      </c>
      <c r="J964" s="1" t="s">
        <v>1780</v>
      </c>
    </row>
    <row r="965" spans="1:10" ht="48">
      <c r="A965" s="1">
        <v>2023</v>
      </c>
      <c r="B965" s="1" t="s">
        <v>9</v>
      </c>
      <c r="C965" s="1" t="s">
        <v>92</v>
      </c>
      <c r="D965" s="1" t="s">
        <v>1845</v>
      </c>
      <c r="E965" s="1" t="s">
        <v>1857</v>
      </c>
      <c r="F965" s="1" t="s">
        <v>1858</v>
      </c>
      <c r="G965" s="2">
        <v>100</v>
      </c>
      <c r="H965" s="3">
        <f t="shared" ref="H965:I965" si="318">0%+0%+0%</f>
        <v>0</v>
      </c>
      <c r="I965" s="4">
        <f t="shared" si="318"/>
        <v>0</v>
      </c>
      <c r="J965" s="1" t="s">
        <v>1780</v>
      </c>
    </row>
    <row r="966" spans="1:10" ht="48">
      <c r="A966" s="1">
        <v>2023</v>
      </c>
      <c r="B966" s="1" t="s">
        <v>9</v>
      </c>
      <c r="C966" s="1" t="s">
        <v>92</v>
      </c>
      <c r="D966" s="1" t="s">
        <v>1845</v>
      </c>
      <c r="E966" s="1" t="s">
        <v>1859</v>
      </c>
      <c r="F966" s="1" t="s">
        <v>1860</v>
      </c>
      <c r="G966" s="2">
        <v>1</v>
      </c>
      <c r="H966" s="3">
        <f t="shared" ref="H966:I966" si="319">0%+0%+0%</f>
        <v>0</v>
      </c>
      <c r="I966" s="4">
        <f t="shared" si="319"/>
        <v>0</v>
      </c>
      <c r="J966" s="1" t="s">
        <v>1780</v>
      </c>
    </row>
    <row r="967" spans="1:10" ht="48">
      <c r="A967" s="1">
        <v>2023</v>
      </c>
      <c r="B967" s="1" t="s">
        <v>9</v>
      </c>
      <c r="C967" s="1" t="s">
        <v>92</v>
      </c>
      <c r="D967" s="1" t="s">
        <v>1845</v>
      </c>
      <c r="E967" s="1" t="s">
        <v>1861</v>
      </c>
      <c r="F967" s="1" t="s">
        <v>1862</v>
      </c>
      <c r="G967" s="2">
        <v>1</v>
      </c>
      <c r="H967" s="3">
        <f t="shared" ref="H967:I967" si="320">0%+0%+0%</f>
        <v>0</v>
      </c>
      <c r="I967" s="4">
        <f t="shared" si="320"/>
        <v>0</v>
      </c>
      <c r="J967" s="1" t="s">
        <v>1780</v>
      </c>
    </row>
    <row r="968" spans="1:10" ht="60">
      <c r="A968" s="1">
        <v>2023</v>
      </c>
      <c r="B968" s="1" t="s">
        <v>9</v>
      </c>
      <c r="C968" s="1" t="s">
        <v>92</v>
      </c>
      <c r="D968" s="1" t="s">
        <v>1845</v>
      </c>
      <c r="E968" s="1" t="s">
        <v>1863</v>
      </c>
      <c r="F968" s="1" t="s">
        <v>1864</v>
      </c>
      <c r="G968" s="2">
        <v>20</v>
      </c>
      <c r="H968" s="4">
        <f>11.76%+5.88%+5.88%</f>
        <v>0.23519999999999999</v>
      </c>
      <c r="I968" s="4">
        <f>5%+10%+5%</f>
        <v>0.2</v>
      </c>
      <c r="J968" s="1" t="s">
        <v>1780</v>
      </c>
    </row>
    <row r="969" spans="1:10" ht="48">
      <c r="A969" s="1">
        <v>2023</v>
      </c>
      <c r="B969" s="1" t="s">
        <v>9</v>
      </c>
      <c r="C969" s="1" t="s">
        <v>92</v>
      </c>
      <c r="D969" s="1" t="s">
        <v>1845</v>
      </c>
      <c r="E969" s="1" t="s">
        <v>1865</v>
      </c>
      <c r="F969" s="1" t="s">
        <v>1866</v>
      </c>
      <c r="G969" s="11">
        <v>7</v>
      </c>
      <c r="H969" s="11">
        <f t="shared" ref="H969:H975" si="321">0+1+0</f>
        <v>1</v>
      </c>
      <c r="I969" s="11">
        <f>2+2+0</f>
        <v>4</v>
      </c>
      <c r="J969" s="1" t="s">
        <v>1780</v>
      </c>
    </row>
    <row r="970" spans="1:10" ht="48">
      <c r="A970" s="1">
        <v>2023</v>
      </c>
      <c r="B970" s="1" t="s">
        <v>9</v>
      </c>
      <c r="C970" s="1" t="s">
        <v>92</v>
      </c>
      <c r="D970" s="1" t="s">
        <v>1845</v>
      </c>
      <c r="E970" s="1" t="s">
        <v>1867</v>
      </c>
      <c r="F970" s="1" t="s">
        <v>1868</v>
      </c>
      <c r="G970" s="11">
        <v>7</v>
      </c>
      <c r="H970" s="11">
        <f t="shared" si="321"/>
        <v>1</v>
      </c>
      <c r="I970" s="11">
        <f>3+2+1</f>
        <v>6</v>
      </c>
      <c r="J970" s="1" t="s">
        <v>1780</v>
      </c>
    </row>
    <row r="971" spans="1:10" ht="48">
      <c r="A971" s="1">
        <v>2023</v>
      </c>
      <c r="B971" s="1" t="s">
        <v>9</v>
      </c>
      <c r="C971" s="1" t="s">
        <v>92</v>
      </c>
      <c r="D971" s="1" t="s">
        <v>1845</v>
      </c>
      <c r="E971" s="1" t="s">
        <v>1869</v>
      </c>
      <c r="F971" s="1" t="s">
        <v>1870</v>
      </c>
      <c r="G971" s="11">
        <v>7</v>
      </c>
      <c r="H971" s="11">
        <f t="shared" si="321"/>
        <v>1</v>
      </c>
      <c r="I971" s="11">
        <f>0+0+0</f>
        <v>0</v>
      </c>
      <c r="J971" s="1" t="s">
        <v>1780</v>
      </c>
    </row>
    <row r="972" spans="1:10" ht="48">
      <c r="A972" s="1">
        <v>2023</v>
      </c>
      <c r="B972" s="1" t="s">
        <v>9</v>
      </c>
      <c r="C972" s="1" t="s">
        <v>92</v>
      </c>
      <c r="D972" s="1" t="s">
        <v>1845</v>
      </c>
      <c r="E972" s="1" t="s">
        <v>1871</v>
      </c>
      <c r="F972" s="1" t="s">
        <v>1796</v>
      </c>
      <c r="G972" s="11">
        <v>7</v>
      </c>
      <c r="H972" s="11">
        <f t="shared" si="321"/>
        <v>1</v>
      </c>
      <c r="I972" s="11">
        <f>2+2+0</f>
        <v>4</v>
      </c>
      <c r="J972" s="1" t="s">
        <v>1780</v>
      </c>
    </row>
    <row r="973" spans="1:10" ht="48">
      <c r="A973" s="1">
        <v>2023</v>
      </c>
      <c r="B973" s="1" t="s">
        <v>9</v>
      </c>
      <c r="C973" s="1" t="s">
        <v>92</v>
      </c>
      <c r="D973" s="1" t="s">
        <v>1845</v>
      </c>
      <c r="E973" s="1" t="s">
        <v>1872</v>
      </c>
      <c r="F973" s="1" t="s">
        <v>1873</v>
      </c>
      <c r="G973" s="11">
        <v>7</v>
      </c>
      <c r="H973" s="11">
        <f t="shared" si="321"/>
        <v>1</v>
      </c>
      <c r="I973" s="11">
        <f>0+0+0</f>
        <v>0</v>
      </c>
      <c r="J973" s="1" t="s">
        <v>1780</v>
      </c>
    </row>
    <row r="974" spans="1:10" ht="48">
      <c r="A974" s="1">
        <v>2023</v>
      </c>
      <c r="B974" s="1" t="s">
        <v>9</v>
      </c>
      <c r="C974" s="1" t="s">
        <v>92</v>
      </c>
      <c r="D974" s="1" t="s">
        <v>1845</v>
      </c>
      <c r="E974" s="1" t="s">
        <v>1874</v>
      </c>
      <c r="F974" s="1" t="s">
        <v>1875</v>
      </c>
      <c r="G974" s="11">
        <v>7</v>
      </c>
      <c r="H974" s="11">
        <f t="shared" si="321"/>
        <v>1</v>
      </c>
      <c r="I974" s="11">
        <f>2+2+0</f>
        <v>4</v>
      </c>
      <c r="J974" s="1" t="s">
        <v>1780</v>
      </c>
    </row>
    <row r="975" spans="1:10" ht="48">
      <c r="A975" s="1">
        <v>2023</v>
      </c>
      <c r="B975" s="1" t="s">
        <v>9</v>
      </c>
      <c r="C975" s="1" t="s">
        <v>92</v>
      </c>
      <c r="D975" s="1" t="s">
        <v>1845</v>
      </c>
      <c r="E975" s="1" t="s">
        <v>1876</v>
      </c>
      <c r="F975" s="1" t="s">
        <v>1877</v>
      </c>
      <c r="G975" s="11">
        <v>7</v>
      </c>
      <c r="H975" s="11">
        <f t="shared" si="321"/>
        <v>1</v>
      </c>
      <c r="I975" s="11">
        <f>0+1+0</f>
        <v>1</v>
      </c>
      <c r="J975" s="1" t="s">
        <v>1780</v>
      </c>
    </row>
    <row r="976" spans="1:10" ht="48">
      <c r="A976" s="1">
        <v>2023</v>
      </c>
      <c r="B976" s="1" t="s">
        <v>9</v>
      </c>
      <c r="C976" s="1" t="s">
        <v>92</v>
      </c>
      <c r="D976" s="1" t="s">
        <v>1845</v>
      </c>
      <c r="E976" s="1" t="s">
        <v>1878</v>
      </c>
      <c r="F976" s="1" t="s">
        <v>1804</v>
      </c>
      <c r="G976" s="11">
        <v>6000</v>
      </c>
      <c r="H976" s="11">
        <f>500+500+500</f>
        <v>1500</v>
      </c>
      <c r="I976" s="11">
        <f>1815+815+650</f>
        <v>3280</v>
      </c>
      <c r="J976" s="1" t="s">
        <v>1780</v>
      </c>
    </row>
    <row r="977" spans="1:10" ht="48">
      <c r="A977" s="1">
        <v>2023</v>
      </c>
      <c r="B977" s="1" t="s">
        <v>9</v>
      </c>
      <c r="C977" s="1" t="s">
        <v>92</v>
      </c>
      <c r="D977" s="1" t="s">
        <v>1845</v>
      </c>
      <c r="E977" s="1" t="s">
        <v>1879</v>
      </c>
      <c r="F977" s="1" t="s">
        <v>1880</v>
      </c>
      <c r="G977" s="11">
        <v>4</v>
      </c>
      <c r="H977" s="11">
        <f>0+1+0</f>
        <v>1</v>
      </c>
      <c r="I977" s="11">
        <f>2+2+1</f>
        <v>5</v>
      </c>
      <c r="J977" s="1" t="s">
        <v>1780</v>
      </c>
    </row>
    <row r="978" spans="1:10" ht="48">
      <c r="A978" s="1">
        <v>2023</v>
      </c>
      <c r="B978" s="1" t="s">
        <v>9</v>
      </c>
      <c r="C978" s="1" t="s">
        <v>92</v>
      </c>
      <c r="D978" s="1" t="s">
        <v>1845</v>
      </c>
      <c r="E978" s="1" t="s">
        <v>1881</v>
      </c>
      <c r="F978" s="1" t="s">
        <v>1882</v>
      </c>
      <c r="G978" s="11">
        <v>4</v>
      </c>
      <c r="H978" s="11">
        <f>1+0+0</f>
        <v>1</v>
      </c>
      <c r="I978" s="11">
        <f>0+0+0</f>
        <v>0</v>
      </c>
      <c r="J978" s="1" t="s">
        <v>1780</v>
      </c>
    </row>
    <row r="979" spans="1:10" ht="48">
      <c r="A979" s="1">
        <v>2023</v>
      </c>
      <c r="B979" s="1" t="s">
        <v>9</v>
      </c>
      <c r="C979" s="1" t="s">
        <v>92</v>
      </c>
      <c r="D979" s="1" t="s">
        <v>1845</v>
      </c>
      <c r="E979" s="1" t="s">
        <v>1883</v>
      </c>
      <c r="F979" s="1" t="s">
        <v>1804</v>
      </c>
      <c r="G979" s="2">
        <v>500</v>
      </c>
      <c r="H979" s="11">
        <f>0+0+0</f>
        <v>0</v>
      </c>
      <c r="I979" s="11">
        <f>5+5+22</f>
        <v>32</v>
      </c>
      <c r="J979" s="1" t="s">
        <v>1780</v>
      </c>
    </row>
    <row r="980" spans="1:10" ht="60">
      <c r="A980" s="1">
        <v>2023</v>
      </c>
      <c r="B980" s="1" t="s">
        <v>9</v>
      </c>
      <c r="C980" s="1" t="s">
        <v>92</v>
      </c>
      <c r="D980" s="1" t="s">
        <v>1845</v>
      </c>
      <c r="E980" s="1" t="s">
        <v>1884</v>
      </c>
      <c r="F980" s="1" t="s">
        <v>59</v>
      </c>
      <c r="G980" s="2">
        <v>3</v>
      </c>
      <c r="H980" s="11">
        <f>1+0+0</f>
        <v>1</v>
      </c>
      <c r="I980" s="11">
        <f>0+1+0</f>
        <v>1</v>
      </c>
      <c r="J980" s="1" t="s">
        <v>1780</v>
      </c>
    </row>
    <row r="981" spans="1:10" ht="48">
      <c r="A981" s="1">
        <v>2023</v>
      </c>
      <c r="B981" s="1" t="s">
        <v>9</v>
      </c>
      <c r="C981" s="1" t="s">
        <v>92</v>
      </c>
      <c r="D981" s="1" t="s">
        <v>1845</v>
      </c>
      <c r="E981" s="1" t="s">
        <v>1885</v>
      </c>
      <c r="F981" s="1" t="s">
        <v>1785</v>
      </c>
      <c r="G981" s="2">
        <v>100</v>
      </c>
      <c r="H981" s="11">
        <f>25+0+0</f>
        <v>25</v>
      </c>
      <c r="I981" s="11">
        <f t="shared" ref="I981:I982" si="322">0+0+0</f>
        <v>0</v>
      </c>
      <c r="J981" s="1" t="s">
        <v>1780</v>
      </c>
    </row>
    <row r="982" spans="1:10" ht="48">
      <c r="A982" s="1">
        <v>2023</v>
      </c>
      <c r="B982" s="1" t="s">
        <v>9</v>
      </c>
      <c r="C982" s="1" t="s">
        <v>92</v>
      </c>
      <c r="D982" s="1" t="s">
        <v>1845</v>
      </c>
      <c r="E982" s="1" t="s">
        <v>1886</v>
      </c>
      <c r="F982" s="1" t="s">
        <v>362</v>
      </c>
      <c r="G982" s="2">
        <v>1</v>
      </c>
      <c r="H982" s="11">
        <f>1+0+0</f>
        <v>1</v>
      </c>
      <c r="I982" s="11">
        <f t="shared" si="322"/>
        <v>0</v>
      </c>
      <c r="J982" s="1" t="s">
        <v>1780</v>
      </c>
    </row>
    <row r="983" spans="1:10" ht="48">
      <c r="A983" s="1">
        <v>2023</v>
      </c>
      <c r="B983" s="1" t="s">
        <v>9</v>
      </c>
      <c r="C983" s="1" t="s">
        <v>92</v>
      </c>
      <c r="D983" s="1" t="s">
        <v>1845</v>
      </c>
      <c r="E983" s="1" t="s">
        <v>1887</v>
      </c>
      <c r="F983" s="1" t="s">
        <v>156</v>
      </c>
      <c r="G983" s="2">
        <v>1</v>
      </c>
      <c r="H983" s="11">
        <f t="shared" ref="H983:I983" si="323">0+0+0</f>
        <v>0</v>
      </c>
      <c r="I983" s="11">
        <f t="shared" si="323"/>
        <v>0</v>
      </c>
      <c r="J983" s="1" t="s">
        <v>1780</v>
      </c>
    </row>
    <row r="984" spans="1:10" ht="48">
      <c r="A984" s="1">
        <v>2023</v>
      </c>
      <c r="B984" s="1" t="s">
        <v>9</v>
      </c>
      <c r="C984" s="1" t="s">
        <v>92</v>
      </c>
      <c r="D984" s="1" t="s">
        <v>1845</v>
      </c>
      <c r="E984" s="1" t="s">
        <v>1888</v>
      </c>
      <c r="F984" s="1" t="s">
        <v>1796</v>
      </c>
      <c r="G984" s="2">
        <v>10</v>
      </c>
      <c r="H984" s="11">
        <f t="shared" ref="H984:H985" si="324">1+1+0</f>
        <v>2</v>
      </c>
      <c r="I984" s="11">
        <f>0+1+0</f>
        <v>1</v>
      </c>
      <c r="J984" s="1" t="s">
        <v>1780</v>
      </c>
    </row>
    <row r="985" spans="1:10" ht="48">
      <c r="A985" s="1">
        <v>2023</v>
      </c>
      <c r="B985" s="1" t="s">
        <v>9</v>
      </c>
      <c r="C985" s="1" t="s">
        <v>92</v>
      </c>
      <c r="D985" s="1" t="s">
        <v>1845</v>
      </c>
      <c r="E985" s="1" t="s">
        <v>1889</v>
      </c>
      <c r="F985" s="1" t="s">
        <v>1796</v>
      </c>
      <c r="G985" s="2">
        <v>10</v>
      </c>
      <c r="H985" s="11">
        <f t="shared" si="324"/>
        <v>2</v>
      </c>
      <c r="I985" s="11">
        <f>1+1+1</f>
        <v>3</v>
      </c>
      <c r="J985" s="1" t="s">
        <v>1780</v>
      </c>
    </row>
    <row r="986" spans="1:10" ht="48">
      <c r="A986" s="1">
        <v>2023</v>
      </c>
      <c r="B986" s="1" t="s">
        <v>9</v>
      </c>
      <c r="C986" s="1" t="s">
        <v>92</v>
      </c>
      <c r="D986" s="1" t="s">
        <v>1890</v>
      </c>
      <c r="E986" s="1" t="s">
        <v>1891</v>
      </c>
      <c r="F986" s="1" t="s">
        <v>1892</v>
      </c>
      <c r="G986" s="2">
        <v>0</v>
      </c>
      <c r="H986" s="3">
        <f t="shared" ref="H986:I986" si="325">0+0+100%</f>
        <v>1</v>
      </c>
      <c r="I986" s="3">
        <f t="shared" si="325"/>
        <v>1</v>
      </c>
      <c r="J986" s="1" t="s">
        <v>1780</v>
      </c>
    </row>
    <row r="987" spans="1:10" ht="48">
      <c r="A987" s="1">
        <v>2023</v>
      </c>
      <c r="B987" s="1" t="s">
        <v>9</v>
      </c>
      <c r="C987" s="1" t="s">
        <v>92</v>
      </c>
      <c r="D987" s="1" t="s">
        <v>1890</v>
      </c>
      <c r="E987" s="1" t="s">
        <v>1893</v>
      </c>
      <c r="F987" s="1" t="s">
        <v>1894</v>
      </c>
      <c r="G987" s="2">
        <v>0</v>
      </c>
      <c r="H987" s="3">
        <f t="shared" ref="H987:I987" si="326">0+0+100%</f>
        <v>1</v>
      </c>
      <c r="I987" s="3">
        <f t="shared" si="326"/>
        <v>1</v>
      </c>
      <c r="J987" s="1" t="s">
        <v>1780</v>
      </c>
    </row>
    <row r="988" spans="1:10" ht="48">
      <c r="A988" s="1">
        <v>2023</v>
      </c>
      <c r="B988" s="1" t="s">
        <v>9</v>
      </c>
      <c r="C988" s="1" t="s">
        <v>92</v>
      </c>
      <c r="D988" s="1" t="s">
        <v>1890</v>
      </c>
      <c r="E988" s="1" t="s">
        <v>1895</v>
      </c>
      <c r="F988" s="1" t="s">
        <v>1896</v>
      </c>
      <c r="G988" s="2">
        <v>17</v>
      </c>
      <c r="H988" s="4">
        <f>5%+0%+0%</f>
        <v>0.05</v>
      </c>
      <c r="I988" s="4">
        <f>12.5%+12.5%+6.2%</f>
        <v>0.312</v>
      </c>
      <c r="J988" s="1" t="s">
        <v>1780</v>
      </c>
    </row>
    <row r="989" spans="1:10" ht="60">
      <c r="A989" s="1">
        <v>2023</v>
      </c>
      <c r="B989" s="1" t="s">
        <v>9</v>
      </c>
      <c r="C989" s="1" t="s">
        <v>92</v>
      </c>
      <c r="D989" s="1" t="s">
        <v>1890</v>
      </c>
      <c r="E989" s="1" t="s">
        <v>1897</v>
      </c>
      <c r="F989" s="1" t="s">
        <v>1804</v>
      </c>
      <c r="G989" s="11">
        <v>3000</v>
      </c>
      <c r="H989" s="4">
        <f>10%+10%+0%</f>
        <v>0.2</v>
      </c>
      <c r="I989" s="4">
        <f>5.8%+4.5%+3.6%</f>
        <v>0.13900000000000001</v>
      </c>
      <c r="J989" s="1" t="s">
        <v>1780</v>
      </c>
    </row>
    <row r="990" spans="1:10" ht="48">
      <c r="A990" s="1">
        <v>2023</v>
      </c>
      <c r="B990" s="1" t="s">
        <v>9</v>
      </c>
      <c r="C990" s="1" t="s">
        <v>92</v>
      </c>
      <c r="D990" s="1" t="s">
        <v>1890</v>
      </c>
      <c r="E990" s="1" t="s">
        <v>1898</v>
      </c>
      <c r="F990" s="1" t="s">
        <v>1899</v>
      </c>
      <c r="G990" s="11">
        <v>6</v>
      </c>
      <c r="H990" s="11">
        <f>2+1+0</f>
        <v>3</v>
      </c>
      <c r="I990" s="11">
        <f>1+1+0</f>
        <v>2</v>
      </c>
      <c r="J990" s="1" t="s">
        <v>1780</v>
      </c>
    </row>
    <row r="991" spans="1:10" ht="60">
      <c r="A991" s="1">
        <v>2023</v>
      </c>
      <c r="B991" s="1" t="s">
        <v>9</v>
      </c>
      <c r="C991" s="1" t="s">
        <v>92</v>
      </c>
      <c r="D991" s="1" t="s">
        <v>1890</v>
      </c>
      <c r="E991" s="1" t="s">
        <v>1900</v>
      </c>
      <c r="F991" s="1" t="s">
        <v>1901</v>
      </c>
      <c r="G991" s="11">
        <v>6</v>
      </c>
      <c r="H991" s="11">
        <f t="shared" ref="H991:I991" si="327">1+1+1</f>
        <v>3</v>
      </c>
      <c r="I991" s="11">
        <f t="shared" si="327"/>
        <v>3</v>
      </c>
      <c r="J991" s="1" t="s">
        <v>1780</v>
      </c>
    </row>
    <row r="992" spans="1:10" ht="48">
      <c r="A992" s="1">
        <v>2023</v>
      </c>
      <c r="B992" s="1" t="s">
        <v>9</v>
      </c>
      <c r="C992" s="1" t="s">
        <v>92</v>
      </c>
      <c r="D992" s="1" t="s">
        <v>1890</v>
      </c>
      <c r="E992" s="1" t="s">
        <v>1902</v>
      </c>
      <c r="F992" s="1" t="s">
        <v>1796</v>
      </c>
      <c r="G992" s="11">
        <v>6</v>
      </c>
      <c r="H992" s="11">
        <f>1+1+1</f>
        <v>3</v>
      </c>
      <c r="I992" s="11">
        <f>0+0+0</f>
        <v>0</v>
      </c>
      <c r="J992" s="1" t="s">
        <v>1780</v>
      </c>
    </row>
    <row r="993" spans="1:10" ht="48">
      <c r="A993" s="1">
        <v>2023</v>
      </c>
      <c r="B993" s="1" t="s">
        <v>9</v>
      </c>
      <c r="C993" s="1" t="s">
        <v>92</v>
      </c>
      <c r="D993" s="1" t="s">
        <v>1890</v>
      </c>
      <c r="E993" s="1" t="s">
        <v>1903</v>
      </c>
      <c r="F993" s="1" t="s">
        <v>1904</v>
      </c>
      <c r="G993" s="2">
        <v>600</v>
      </c>
      <c r="H993" s="11">
        <f>50+50+50</f>
        <v>150</v>
      </c>
      <c r="I993" s="11">
        <f>112+88+61</f>
        <v>261</v>
      </c>
      <c r="J993" s="1" t="s">
        <v>1780</v>
      </c>
    </row>
    <row r="994" spans="1:10" ht="48">
      <c r="A994" s="1">
        <v>2023</v>
      </c>
      <c r="B994" s="1" t="s">
        <v>9</v>
      </c>
      <c r="C994" s="1" t="s">
        <v>92</v>
      </c>
      <c r="D994" s="1" t="s">
        <v>1890</v>
      </c>
      <c r="E994" s="1" t="s">
        <v>1905</v>
      </c>
      <c r="F994" s="1" t="s">
        <v>1722</v>
      </c>
      <c r="G994" s="2">
        <v>600</v>
      </c>
      <c r="H994" s="11">
        <f t="shared" ref="H994:H997" si="328">54+56+56</f>
        <v>166</v>
      </c>
      <c r="I994" s="11">
        <f>30+20+21</f>
        <v>71</v>
      </c>
      <c r="J994" s="1" t="s">
        <v>1780</v>
      </c>
    </row>
    <row r="995" spans="1:10" ht="48">
      <c r="A995" s="1">
        <v>2023</v>
      </c>
      <c r="B995" s="1" t="s">
        <v>9</v>
      </c>
      <c r="C995" s="1" t="s">
        <v>92</v>
      </c>
      <c r="D995" s="1" t="s">
        <v>1890</v>
      </c>
      <c r="E995" s="1" t="s">
        <v>1906</v>
      </c>
      <c r="F995" s="1" t="s">
        <v>1907</v>
      </c>
      <c r="G995" s="2">
        <v>600</v>
      </c>
      <c r="H995" s="11">
        <f t="shared" si="328"/>
        <v>166</v>
      </c>
      <c r="I995" s="11">
        <f>26+25+20</f>
        <v>71</v>
      </c>
      <c r="J995" s="1" t="s">
        <v>1780</v>
      </c>
    </row>
    <row r="996" spans="1:10" ht="84">
      <c r="A996" s="1">
        <v>2023</v>
      </c>
      <c r="B996" s="1" t="s">
        <v>9</v>
      </c>
      <c r="C996" s="1" t="s">
        <v>92</v>
      </c>
      <c r="D996" s="1" t="s">
        <v>1890</v>
      </c>
      <c r="E996" s="1" t="s">
        <v>1908</v>
      </c>
      <c r="F996" s="1" t="s">
        <v>1909</v>
      </c>
      <c r="G996" s="2">
        <v>600</v>
      </c>
      <c r="H996" s="11">
        <f t="shared" si="328"/>
        <v>166</v>
      </c>
      <c r="I996" s="11">
        <f>30+21+20</f>
        <v>71</v>
      </c>
      <c r="J996" s="1" t="s">
        <v>1780</v>
      </c>
    </row>
    <row r="997" spans="1:10" ht="60">
      <c r="A997" s="1">
        <v>2023</v>
      </c>
      <c r="B997" s="1" t="s">
        <v>9</v>
      </c>
      <c r="C997" s="1" t="s">
        <v>92</v>
      </c>
      <c r="D997" s="1" t="s">
        <v>1890</v>
      </c>
      <c r="E997" s="2" t="s">
        <v>1910</v>
      </c>
      <c r="F997" s="1" t="s">
        <v>1911</v>
      </c>
      <c r="G997" s="2">
        <v>600</v>
      </c>
      <c r="H997" s="11">
        <f t="shared" si="328"/>
        <v>166</v>
      </c>
      <c r="I997" s="11">
        <f>0+0+0</f>
        <v>0</v>
      </c>
      <c r="J997" s="1" t="s">
        <v>1780</v>
      </c>
    </row>
    <row r="998" spans="1:10" ht="48">
      <c r="A998" s="1">
        <v>2023</v>
      </c>
      <c r="B998" s="1" t="s">
        <v>9</v>
      </c>
      <c r="C998" s="1" t="s">
        <v>92</v>
      </c>
      <c r="D998" s="1" t="s">
        <v>1912</v>
      </c>
      <c r="E998" s="1" t="s">
        <v>1913</v>
      </c>
      <c r="F998" s="1" t="s">
        <v>1914</v>
      </c>
      <c r="G998" s="2">
        <v>0</v>
      </c>
      <c r="H998" s="4">
        <v>1</v>
      </c>
      <c r="I998" s="4">
        <v>1</v>
      </c>
      <c r="J998" s="1" t="s">
        <v>1915</v>
      </c>
    </row>
    <row r="999" spans="1:10" ht="48">
      <c r="A999" s="1">
        <v>2023</v>
      </c>
      <c r="B999" s="1" t="s">
        <v>9</v>
      </c>
      <c r="C999" s="1" t="s">
        <v>92</v>
      </c>
      <c r="D999" s="1" t="s">
        <v>1912</v>
      </c>
      <c r="E999" s="1" t="s">
        <v>1916</v>
      </c>
      <c r="F999" s="1" t="s">
        <v>1917</v>
      </c>
      <c r="G999" s="2">
        <v>0</v>
      </c>
      <c r="H999" s="4">
        <v>1</v>
      </c>
      <c r="I999" s="4">
        <v>1</v>
      </c>
      <c r="J999" s="1" t="s">
        <v>1915</v>
      </c>
    </row>
    <row r="1000" spans="1:10" ht="48">
      <c r="A1000" s="1">
        <v>2023</v>
      </c>
      <c r="B1000" s="1" t="s">
        <v>9</v>
      </c>
      <c r="C1000" s="1" t="s">
        <v>92</v>
      </c>
      <c r="D1000" s="1" t="s">
        <v>1912</v>
      </c>
      <c r="E1000" s="1" t="s">
        <v>1918</v>
      </c>
      <c r="F1000" s="1" t="s">
        <v>1919</v>
      </c>
      <c r="G1000" s="11">
        <v>3</v>
      </c>
      <c r="H1000" s="3">
        <v>0.25</v>
      </c>
      <c r="I1000" s="4">
        <v>0.25</v>
      </c>
      <c r="J1000" s="1" t="s">
        <v>1915</v>
      </c>
    </row>
    <row r="1001" spans="1:10" ht="60">
      <c r="A1001" s="1">
        <v>2023</v>
      </c>
      <c r="B1001" s="1" t="s">
        <v>9</v>
      </c>
      <c r="C1001" s="1" t="s">
        <v>92</v>
      </c>
      <c r="D1001" s="1" t="s">
        <v>1912</v>
      </c>
      <c r="E1001" s="1" t="s">
        <v>1920</v>
      </c>
      <c r="F1001" s="1" t="s">
        <v>1804</v>
      </c>
      <c r="G1001" s="11">
        <v>6769</v>
      </c>
      <c r="H1001" s="4">
        <v>0.13020000000000001</v>
      </c>
      <c r="I1001" s="4">
        <v>0.29499999999999998</v>
      </c>
      <c r="J1001" s="1" t="s">
        <v>1915</v>
      </c>
    </row>
    <row r="1002" spans="1:10" ht="48">
      <c r="A1002" s="1">
        <v>2023</v>
      </c>
      <c r="B1002" s="1" t="s">
        <v>9</v>
      </c>
      <c r="C1002" s="1" t="s">
        <v>92</v>
      </c>
      <c r="D1002" s="1" t="s">
        <v>1912</v>
      </c>
      <c r="E1002" s="1" t="s">
        <v>1921</v>
      </c>
      <c r="F1002" s="1" t="s">
        <v>1922</v>
      </c>
      <c r="G1002" s="11">
        <v>34</v>
      </c>
      <c r="H1002" s="4">
        <v>0.24990000000000001</v>
      </c>
      <c r="I1002" s="4">
        <v>0.16170000000000001</v>
      </c>
      <c r="J1002" s="1" t="s">
        <v>1915</v>
      </c>
    </row>
    <row r="1003" spans="1:10" ht="48">
      <c r="A1003" s="1">
        <v>2023</v>
      </c>
      <c r="B1003" s="1" t="s">
        <v>9</v>
      </c>
      <c r="C1003" s="1" t="s">
        <v>92</v>
      </c>
      <c r="D1003" s="1" t="s">
        <v>1912</v>
      </c>
      <c r="E1003" s="1" t="s">
        <v>1923</v>
      </c>
      <c r="F1003" s="1" t="s">
        <v>1924</v>
      </c>
      <c r="G1003" s="2">
        <v>5</v>
      </c>
      <c r="H1003" s="4">
        <v>0.25</v>
      </c>
      <c r="I1003" s="4">
        <v>0</v>
      </c>
      <c r="J1003" s="1" t="s">
        <v>1915</v>
      </c>
    </row>
    <row r="1004" spans="1:10" ht="48">
      <c r="A1004" s="1">
        <v>2023</v>
      </c>
      <c r="B1004" s="1" t="s">
        <v>9</v>
      </c>
      <c r="C1004" s="1" t="s">
        <v>92</v>
      </c>
      <c r="D1004" s="1" t="s">
        <v>1912</v>
      </c>
      <c r="E1004" s="1" t="s">
        <v>1925</v>
      </c>
      <c r="F1004" s="1" t="s">
        <v>91</v>
      </c>
      <c r="G1004" s="11">
        <v>6769</v>
      </c>
      <c r="H1004" s="4">
        <v>0.24990000000000001</v>
      </c>
      <c r="I1004" s="4">
        <v>0.23599999999999999</v>
      </c>
      <c r="J1004" s="1" t="s">
        <v>1915</v>
      </c>
    </row>
    <row r="1005" spans="1:10" ht="48">
      <c r="A1005" s="1">
        <v>2023</v>
      </c>
      <c r="B1005" s="1" t="s">
        <v>9</v>
      </c>
      <c r="C1005" s="1" t="s">
        <v>92</v>
      </c>
      <c r="D1005" s="1" t="s">
        <v>1912</v>
      </c>
      <c r="E1005" s="1" t="s">
        <v>1926</v>
      </c>
      <c r="F1005" s="1" t="s">
        <v>1927</v>
      </c>
      <c r="G1005" s="2">
        <v>0</v>
      </c>
      <c r="H1005" s="4">
        <v>0.24990000000000001</v>
      </c>
      <c r="I1005" s="4">
        <v>0.30549999999999999</v>
      </c>
      <c r="J1005" s="1" t="s">
        <v>1915</v>
      </c>
    </row>
    <row r="1006" spans="1:10" ht="48">
      <c r="A1006" s="1">
        <v>2023</v>
      </c>
      <c r="B1006" s="1" t="s">
        <v>9</v>
      </c>
      <c r="C1006" s="1" t="s">
        <v>92</v>
      </c>
      <c r="D1006" s="1" t="s">
        <v>1912</v>
      </c>
      <c r="E1006" s="1" t="s">
        <v>1928</v>
      </c>
      <c r="F1006" s="1" t="s">
        <v>1919</v>
      </c>
      <c r="G1006" s="11">
        <v>3</v>
      </c>
      <c r="H1006" s="2">
        <v>1</v>
      </c>
      <c r="I1006" s="2">
        <v>1</v>
      </c>
      <c r="J1006" s="1" t="s">
        <v>1915</v>
      </c>
    </row>
    <row r="1007" spans="1:10" ht="60">
      <c r="A1007" s="1">
        <v>2023</v>
      </c>
      <c r="B1007" s="1" t="s">
        <v>9</v>
      </c>
      <c r="C1007" s="1" t="s">
        <v>92</v>
      </c>
      <c r="D1007" s="1" t="s">
        <v>1912</v>
      </c>
      <c r="E1007" s="1" t="s">
        <v>1929</v>
      </c>
      <c r="F1007" s="1" t="s">
        <v>1930</v>
      </c>
      <c r="G1007" s="11">
        <v>6769</v>
      </c>
      <c r="H1007" s="2">
        <f>844+844+849</f>
        <v>2537</v>
      </c>
      <c r="I1007" s="2">
        <f>421+421+1746</f>
        <v>2588</v>
      </c>
      <c r="J1007" s="1" t="s">
        <v>1915</v>
      </c>
    </row>
    <row r="1008" spans="1:10" ht="48">
      <c r="A1008" s="1">
        <v>2023</v>
      </c>
      <c r="B1008" s="1" t="s">
        <v>9</v>
      </c>
      <c r="C1008" s="1" t="s">
        <v>92</v>
      </c>
      <c r="D1008" s="1" t="s">
        <v>1912</v>
      </c>
      <c r="E1008" s="1" t="s">
        <v>1931</v>
      </c>
      <c r="F1008" s="1" t="s">
        <v>1922</v>
      </c>
      <c r="G1008" s="11">
        <v>34</v>
      </c>
      <c r="H1008" s="2">
        <f>3+3+2</f>
        <v>8</v>
      </c>
      <c r="I1008" s="2">
        <f>4+4+3</f>
        <v>11</v>
      </c>
      <c r="J1008" s="1" t="s">
        <v>1915</v>
      </c>
    </row>
    <row r="1009" spans="1:10" ht="48">
      <c r="A1009" s="1">
        <v>2023</v>
      </c>
      <c r="B1009" s="1" t="s">
        <v>9</v>
      </c>
      <c r="C1009" s="1" t="s">
        <v>92</v>
      </c>
      <c r="D1009" s="1" t="s">
        <v>1912</v>
      </c>
      <c r="E1009" s="1" t="s">
        <v>1932</v>
      </c>
      <c r="F1009" s="1" t="s">
        <v>1924</v>
      </c>
      <c r="G1009" s="2">
        <v>5</v>
      </c>
      <c r="H1009" s="2">
        <f>0.5+0.5+0.25</f>
        <v>1.25</v>
      </c>
      <c r="I1009" s="2">
        <v>0</v>
      </c>
      <c r="J1009" s="1" t="s">
        <v>1915</v>
      </c>
    </row>
    <row r="1010" spans="1:10" ht="48">
      <c r="A1010" s="1">
        <v>2023</v>
      </c>
      <c r="B1010" s="1" t="s">
        <v>9</v>
      </c>
      <c r="C1010" s="1" t="s">
        <v>92</v>
      </c>
      <c r="D1010" s="1" t="s">
        <v>1912</v>
      </c>
      <c r="E1010" s="1" t="s">
        <v>1575</v>
      </c>
      <c r="F1010" s="1" t="s">
        <v>91</v>
      </c>
      <c r="G1010" s="11">
        <v>6769</v>
      </c>
      <c r="H1010" s="2">
        <f>564+564+564</f>
        <v>1692</v>
      </c>
      <c r="I1010" s="2">
        <f>1135+885+1392</f>
        <v>3412</v>
      </c>
      <c r="J1010" s="1" t="s">
        <v>1915</v>
      </c>
    </row>
    <row r="1011" spans="1:10" ht="48">
      <c r="A1011" s="1">
        <v>2023</v>
      </c>
      <c r="B1011" s="1" t="s">
        <v>9</v>
      </c>
      <c r="C1011" s="1" t="s">
        <v>92</v>
      </c>
      <c r="D1011" s="1" t="s">
        <v>1912</v>
      </c>
      <c r="E1011" s="1" t="s">
        <v>1933</v>
      </c>
      <c r="F1011" s="1" t="s">
        <v>1934</v>
      </c>
      <c r="G1011" s="2">
        <v>24</v>
      </c>
      <c r="H1011" s="2">
        <f>2+2+2</f>
        <v>6</v>
      </c>
      <c r="I1011" s="2">
        <f>3+4+4</f>
        <v>11</v>
      </c>
      <c r="J1011" s="1" t="s">
        <v>1915</v>
      </c>
    </row>
    <row r="1012" spans="1:10" ht="48">
      <c r="A1012" s="1">
        <v>2023</v>
      </c>
      <c r="B1012" s="1" t="s">
        <v>9</v>
      </c>
      <c r="C1012" s="1" t="s">
        <v>92</v>
      </c>
      <c r="D1012" s="1" t="s">
        <v>1935</v>
      </c>
      <c r="E1012" s="1" t="s">
        <v>1936</v>
      </c>
      <c r="F1012" s="1" t="s">
        <v>1937</v>
      </c>
      <c r="G1012" s="2">
        <v>0</v>
      </c>
      <c r="H1012" s="4">
        <v>1</v>
      </c>
      <c r="I1012" s="4">
        <v>1</v>
      </c>
      <c r="J1012" s="1" t="s">
        <v>1915</v>
      </c>
    </row>
    <row r="1013" spans="1:10" ht="48">
      <c r="A1013" s="1">
        <v>2023</v>
      </c>
      <c r="B1013" s="1" t="s">
        <v>9</v>
      </c>
      <c r="C1013" s="1" t="s">
        <v>92</v>
      </c>
      <c r="D1013" s="1" t="s">
        <v>1935</v>
      </c>
      <c r="E1013" s="1" t="s">
        <v>1938</v>
      </c>
      <c r="F1013" s="1" t="s">
        <v>1939</v>
      </c>
      <c r="G1013" s="2">
        <v>0</v>
      </c>
      <c r="H1013" s="4">
        <v>1</v>
      </c>
      <c r="I1013" s="4">
        <v>1</v>
      </c>
      <c r="J1013" s="1" t="s">
        <v>1915</v>
      </c>
    </row>
    <row r="1014" spans="1:10" ht="48">
      <c r="A1014" s="1">
        <v>2023</v>
      </c>
      <c r="B1014" s="1" t="s">
        <v>9</v>
      </c>
      <c r="C1014" s="1" t="s">
        <v>92</v>
      </c>
      <c r="D1014" s="1" t="s">
        <v>1935</v>
      </c>
      <c r="E1014" s="1" t="s">
        <v>1940</v>
      </c>
      <c r="F1014" s="1" t="s">
        <v>330</v>
      </c>
      <c r="G1014" s="2">
        <v>4</v>
      </c>
      <c r="H1014" s="3">
        <v>0.25</v>
      </c>
      <c r="I1014" s="4">
        <v>0</v>
      </c>
      <c r="J1014" s="1" t="s">
        <v>1915</v>
      </c>
    </row>
    <row r="1015" spans="1:10" ht="48">
      <c r="A1015" s="1">
        <v>2023</v>
      </c>
      <c r="B1015" s="1" t="s">
        <v>9</v>
      </c>
      <c r="C1015" s="1" t="s">
        <v>92</v>
      </c>
      <c r="D1015" s="1" t="s">
        <v>1935</v>
      </c>
      <c r="E1015" s="1" t="s">
        <v>1941</v>
      </c>
      <c r="F1015" s="1" t="s">
        <v>1942</v>
      </c>
      <c r="G1015" s="11">
        <v>10000</v>
      </c>
      <c r="H1015" s="4">
        <v>0.2727</v>
      </c>
      <c r="I1015" s="4">
        <v>0.39040000000000002</v>
      </c>
      <c r="J1015" s="1" t="s">
        <v>1915</v>
      </c>
    </row>
    <row r="1016" spans="1:10" ht="48">
      <c r="A1016" s="1">
        <v>2023</v>
      </c>
      <c r="B1016" s="1" t="s">
        <v>9</v>
      </c>
      <c r="C1016" s="1" t="s">
        <v>92</v>
      </c>
      <c r="D1016" s="1" t="s">
        <v>1935</v>
      </c>
      <c r="E1016" s="1" t="s">
        <v>1943</v>
      </c>
      <c r="F1016" s="1" t="s">
        <v>1944</v>
      </c>
      <c r="G1016" s="2">
        <v>5</v>
      </c>
      <c r="H1016" s="3">
        <v>0.25</v>
      </c>
      <c r="I1016" s="4">
        <v>0.2</v>
      </c>
      <c r="J1016" s="1" t="s">
        <v>1915</v>
      </c>
    </row>
    <row r="1017" spans="1:10" ht="48">
      <c r="A1017" s="1">
        <v>2023</v>
      </c>
      <c r="B1017" s="1" t="s">
        <v>9</v>
      </c>
      <c r="C1017" s="1" t="s">
        <v>92</v>
      </c>
      <c r="D1017" s="1" t="s">
        <v>1935</v>
      </c>
      <c r="E1017" s="1" t="s">
        <v>1945</v>
      </c>
      <c r="F1017" s="1" t="s">
        <v>1946</v>
      </c>
      <c r="G1017" s="2">
        <v>40</v>
      </c>
      <c r="H1017" s="4">
        <v>0.2727</v>
      </c>
      <c r="I1017" s="4">
        <v>0.33</v>
      </c>
      <c r="J1017" s="1" t="s">
        <v>1915</v>
      </c>
    </row>
    <row r="1018" spans="1:10" ht="48">
      <c r="A1018" s="1">
        <v>2023</v>
      </c>
      <c r="B1018" s="1" t="s">
        <v>9</v>
      </c>
      <c r="C1018" s="1" t="s">
        <v>92</v>
      </c>
      <c r="D1018" s="1" t="s">
        <v>1935</v>
      </c>
      <c r="E1018" s="1" t="s">
        <v>1947</v>
      </c>
      <c r="F1018" s="1" t="s">
        <v>1948</v>
      </c>
      <c r="G1018" s="2">
        <v>4</v>
      </c>
      <c r="H1018" s="2">
        <v>1</v>
      </c>
      <c r="I1018" s="2">
        <v>0</v>
      </c>
      <c r="J1018" s="1" t="s">
        <v>1915</v>
      </c>
    </row>
    <row r="1019" spans="1:10" ht="48">
      <c r="A1019" s="1">
        <v>2023</v>
      </c>
      <c r="B1019" s="1" t="s">
        <v>9</v>
      </c>
      <c r="C1019" s="1" t="s">
        <v>92</v>
      </c>
      <c r="D1019" s="1" t="s">
        <v>1935</v>
      </c>
      <c r="E1019" s="1" t="s">
        <v>1949</v>
      </c>
      <c r="F1019" s="1" t="s">
        <v>1950</v>
      </c>
      <c r="G1019" s="11">
        <v>10000</v>
      </c>
      <c r="H1019" s="2">
        <v>2819</v>
      </c>
      <c r="I1019" s="11">
        <f>736+708+2520</f>
        <v>3964</v>
      </c>
      <c r="J1019" s="1" t="s">
        <v>1915</v>
      </c>
    </row>
    <row r="1020" spans="1:10" ht="48">
      <c r="A1020" s="1">
        <v>2023</v>
      </c>
      <c r="B1020" s="1" t="s">
        <v>9</v>
      </c>
      <c r="C1020" s="1" t="s">
        <v>92</v>
      </c>
      <c r="D1020" s="1" t="s">
        <v>1935</v>
      </c>
      <c r="E1020" s="1" t="s">
        <v>1951</v>
      </c>
      <c r="F1020" s="1" t="s">
        <v>1952</v>
      </c>
      <c r="G1020" s="2">
        <v>5</v>
      </c>
      <c r="H1020" s="2">
        <v>2</v>
      </c>
      <c r="I1020" s="2">
        <v>1</v>
      </c>
      <c r="J1020" s="1" t="s">
        <v>1915</v>
      </c>
    </row>
    <row r="1021" spans="1:10" ht="48">
      <c r="A1021" s="1">
        <v>2023</v>
      </c>
      <c r="B1021" s="1" t="s">
        <v>9</v>
      </c>
      <c r="C1021" s="1" t="s">
        <v>92</v>
      </c>
      <c r="D1021" s="1" t="s">
        <v>1935</v>
      </c>
      <c r="E1021" s="1" t="s">
        <v>1938</v>
      </c>
      <c r="F1021" s="1" t="s">
        <v>1939</v>
      </c>
      <c r="G1021" s="2">
        <v>40</v>
      </c>
      <c r="H1021" s="2">
        <f>3+3+3</f>
        <v>9</v>
      </c>
      <c r="I1021" s="2">
        <f>4+3+5</f>
        <v>12</v>
      </c>
      <c r="J1021" s="1" t="s">
        <v>1915</v>
      </c>
    </row>
    <row r="1022" spans="1:10" ht="48">
      <c r="A1022" s="1">
        <v>2023</v>
      </c>
      <c r="B1022" s="1" t="s">
        <v>9</v>
      </c>
      <c r="C1022" s="1" t="s">
        <v>92</v>
      </c>
      <c r="D1022" s="1" t="s">
        <v>1953</v>
      </c>
      <c r="E1022" s="1" t="s">
        <v>1954</v>
      </c>
      <c r="F1022" s="1" t="s">
        <v>328</v>
      </c>
      <c r="G1022" s="2">
        <v>0</v>
      </c>
      <c r="H1022" s="4">
        <v>1</v>
      </c>
      <c r="I1022" s="4">
        <v>1</v>
      </c>
      <c r="J1022" s="1" t="s">
        <v>1915</v>
      </c>
    </row>
    <row r="1023" spans="1:10" ht="48">
      <c r="A1023" s="1">
        <v>2023</v>
      </c>
      <c r="B1023" s="1" t="s">
        <v>9</v>
      </c>
      <c r="C1023" s="1" t="s">
        <v>92</v>
      </c>
      <c r="D1023" s="1" t="s">
        <v>1953</v>
      </c>
      <c r="E1023" s="1" t="s">
        <v>1955</v>
      </c>
      <c r="F1023" s="1" t="s">
        <v>1956</v>
      </c>
      <c r="G1023" s="2">
        <v>0</v>
      </c>
      <c r="H1023" s="4">
        <v>1</v>
      </c>
      <c r="I1023" s="4">
        <v>1</v>
      </c>
      <c r="J1023" s="1" t="s">
        <v>1915</v>
      </c>
    </row>
    <row r="1024" spans="1:10" ht="48">
      <c r="A1024" s="1">
        <v>2023</v>
      </c>
      <c r="B1024" s="1" t="s">
        <v>9</v>
      </c>
      <c r="C1024" s="1" t="s">
        <v>92</v>
      </c>
      <c r="D1024" s="1" t="s">
        <v>1953</v>
      </c>
      <c r="E1024" s="1" t="s">
        <v>1957</v>
      </c>
      <c r="F1024" s="1" t="s">
        <v>1958</v>
      </c>
      <c r="G1024" s="2">
        <v>24</v>
      </c>
      <c r="H1024" s="4">
        <v>0.24990000000000001</v>
      </c>
      <c r="I1024" s="4">
        <v>0.22639999999999999</v>
      </c>
      <c r="J1024" s="1" t="s">
        <v>1915</v>
      </c>
    </row>
    <row r="1025" spans="1:10" ht="48">
      <c r="A1025" s="1">
        <v>2023</v>
      </c>
      <c r="B1025" s="1" t="s">
        <v>9</v>
      </c>
      <c r="C1025" s="1" t="s">
        <v>92</v>
      </c>
      <c r="D1025" s="1" t="s">
        <v>1953</v>
      </c>
      <c r="E1025" s="1" t="s">
        <v>1959</v>
      </c>
      <c r="F1025" s="1" t="s">
        <v>1960</v>
      </c>
      <c r="G1025" s="2">
        <v>48</v>
      </c>
      <c r="H1025" s="4">
        <v>0.24990000000000001</v>
      </c>
      <c r="I1025" s="4">
        <v>0.2777</v>
      </c>
      <c r="J1025" s="1" t="s">
        <v>1915</v>
      </c>
    </row>
    <row r="1026" spans="1:10" ht="48">
      <c r="A1026" s="1">
        <v>2023</v>
      </c>
      <c r="B1026" s="1" t="s">
        <v>9</v>
      </c>
      <c r="C1026" s="1" t="s">
        <v>92</v>
      </c>
      <c r="D1026" s="1" t="s">
        <v>1953</v>
      </c>
      <c r="E1026" s="1" t="s">
        <v>1961</v>
      </c>
      <c r="F1026" s="1" t="s">
        <v>1962</v>
      </c>
      <c r="G1026" s="2">
        <v>48</v>
      </c>
      <c r="H1026" s="4">
        <v>0.2666</v>
      </c>
      <c r="I1026" s="4">
        <v>0.16600000000000001</v>
      </c>
      <c r="J1026" s="1" t="s">
        <v>1915</v>
      </c>
    </row>
    <row r="1027" spans="1:10" ht="48">
      <c r="A1027" s="1">
        <v>2023</v>
      </c>
      <c r="B1027" s="1" t="s">
        <v>9</v>
      </c>
      <c r="C1027" s="1" t="s">
        <v>92</v>
      </c>
      <c r="D1027" s="1" t="s">
        <v>1953</v>
      </c>
      <c r="E1027" s="1" t="s">
        <v>1963</v>
      </c>
      <c r="F1027" s="1" t="s">
        <v>1958</v>
      </c>
      <c r="G1027" s="2">
        <v>24</v>
      </c>
      <c r="H1027" s="2">
        <f>2+2+2</f>
        <v>6</v>
      </c>
      <c r="I1027" s="2">
        <f>6+3+3</f>
        <v>12</v>
      </c>
      <c r="J1027" s="1" t="s">
        <v>1915</v>
      </c>
    </row>
    <row r="1028" spans="1:10" ht="48">
      <c r="A1028" s="1">
        <v>2023</v>
      </c>
      <c r="B1028" s="1" t="s">
        <v>9</v>
      </c>
      <c r="C1028" s="1" t="s">
        <v>92</v>
      </c>
      <c r="D1028" s="1" t="s">
        <v>1953</v>
      </c>
      <c r="E1028" s="1" t="s">
        <v>1964</v>
      </c>
      <c r="F1028" s="1" t="s">
        <v>1960</v>
      </c>
      <c r="G1028" s="2">
        <v>48</v>
      </c>
      <c r="H1028" s="2">
        <f>4+4+4</f>
        <v>12</v>
      </c>
      <c r="I1028" s="2">
        <f>8+6+6</f>
        <v>20</v>
      </c>
      <c r="J1028" s="1" t="s">
        <v>1915</v>
      </c>
    </row>
    <row r="1029" spans="1:10" ht="48">
      <c r="A1029" s="1">
        <v>2023</v>
      </c>
      <c r="B1029" s="1" t="s">
        <v>9</v>
      </c>
      <c r="C1029" s="1" t="s">
        <v>92</v>
      </c>
      <c r="D1029" s="1" t="s">
        <v>1953</v>
      </c>
      <c r="E1029" s="1" t="s">
        <v>1965</v>
      </c>
      <c r="F1029" s="1" t="s">
        <v>1966</v>
      </c>
      <c r="G1029" s="2">
        <v>48</v>
      </c>
      <c r="H1029" s="2">
        <f>6+6+6</f>
        <v>18</v>
      </c>
      <c r="I1029" s="2">
        <f>2+2+0</f>
        <v>4</v>
      </c>
      <c r="J1029" s="1" t="s">
        <v>1915</v>
      </c>
    </row>
    <row r="1030" spans="1:10" ht="36">
      <c r="A1030" s="1">
        <v>2023</v>
      </c>
      <c r="B1030" s="1" t="s">
        <v>9</v>
      </c>
      <c r="C1030" s="1" t="s">
        <v>766</v>
      </c>
      <c r="D1030" s="1" t="s">
        <v>1967</v>
      </c>
      <c r="E1030" s="1" t="s">
        <v>1968</v>
      </c>
      <c r="F1030" s="1" t="s">
        <v>1969</v>
      </c>
      <c r="G1030" s="14">
        <v>0</v>
      </c>
      <c r="H1030" s="3">
        <f t="shared" ref="H1030:H1031" si="329">0+0+100%</f>
        <v>1</v>
      </c>
      <c r="I1030" s="3">
        <v>0.95</v>
      </c>
      <c r="J1030" s="26" t="s">
        <v>1970</v>
      </c>
    </row>
    <row r="1031" spans="1:10" ht="36">
      <c r="A1031" s="1">
        <v>2023</v>
      </c>
      <c r="B1031" s="1" t="s">
        <v>9</v>
      </c>
      <c r="C1031" s="1" t="s">
        <v>766</v>
      </c>
      <c r="D1031" s="1" t="s">
        <v>1967</v>
      </c>
      <c r="E1031" s="1" t="s">
        <v>1971</v>
      </c>
      <c r="F1031" s="1" t="s">
        <v>1972</v>
      </c>
      <c r="G1031" s="14">
        <v>0</v>
      </c>
      <c r="H1031" s="3">
        <f t="shared" si="329"/>
        <v>1</v>
      </c>
      <c r="I1031" s="3">
        <v>0.95</v>
      </c>
      <c r="J1031" s="26" t="s">
        <v>1970</v>
      </c>
    </row>
    <row r="1032" spans="1:10" ht="36">
      <c r="A1032" s="1">
        <v>2023</v>
      </c>
      <c r="B1032" s="1" t="s">
        <v>9</v>
      </c>
      <c r="C1032" s="1" t="s">
        <v>766</v>
      </c>
      <c r="D1032" s="1" t="s">
        <v>1967</v>
      </c>
      <c r="E1032" s="1" t="s">
        <v>1973</v>
      </c>
      <c r="F1032" s="1" t="s">
        <v>1974</v>
      </c>
      <c r="G1032" s="14">
        <v>0</v>
      </c>
      <c r="H1032" s="3">
        <f>8.33%+8.33%+8.33%</f>
        <v>0.24990000000000001</v>
      </c>
      <c r="I1032" s="3">
        <f t="shared" ref="I1032:I1034" si="330">0%+0%+0%</f>
        <v>0</v>
      </c>
      <c r="J1032" s="26" t="s">
        <v>1970</v>
      </c>
    </row>
    <row r="1033" spans="1:10" ht="48">
      <c r="A1033" s="1">
        <v>2023</v>
      </c>
      <c r="B1033" s="1" t="s">
        <v>9</v>
      </c>
      <c r="C1033" s="1" t="s">
        <v>766</v>
      </c>
      <c r="D1033" s="1" t="s">
        <v>1967</v>
      </c>
      <c r="E1033" s="1" t="s">
        <v>1975</v>
      </c>
      <c r="F1033" s="1" t="s">
        <v>1976</v>
      </c>
      <c r="G1033" s="14">
        <v>0</v>
      </c>
      <c r="H1033" s="3">
        <f>0+0+0</f>
        <v>0</v>
      </c>
      <c r="I1033" s="3">
        <f t="shared" si="330"/>
        <v>0</v>
      </c>
      <c r="J1033" s="26" t="s">
        <v>1970</v>
      </c>
    </row>
    <row r="1034" spans="1:10" ht="36">
      <c r="A1034" s="1">
        <v>2023</v>
      </c>
      <c r="B1034" s="1" t="s">
        <v>9</v>
      </c>
      <c r="C1034" s="1" t="s">
        <v>766</v>
      </c>
      <c r="D1034" s="1" t="s">
        <v>1967</v>
      </c>
      <c r="E1034" s="1" t="s">
        <v>1973</v>
      </c>
      <c r="F1034" s="1" t="s">
        <v>1974</v>
      </c>
      <c r="G1034" s="14">
        <v>687</v>
      </c>
      <c r="H1034" s="4">
        <f>12.5%+12.5%+0</f>
        <v>0.25</v>
      </c>
      <c r="I1034" s="3">
        <f t="shared" si="330"/>
        <v>0</v>
      </c>
      <c r="J1034" s="26" t="s">
        <v>1970</v>
      </c>
    </row>
    <row r="1035" spans="1:10" ht="36">
      <c r="A1035" s="1">
        <v>2023</v>
      </c>
      <c r="B1035" s="1" t="s">
        <v>9</v>
      </c>
      <c r="C1035" s="1" t="s">
        <v>766</v>
      </c>
      <c r="D1035" s="1" t="s">
        <v>1967</v>
      </c>
      <c r="E1035" s="1" t="s">
        <v>1977</v>
      </c>
      <c r="F1035" s="1" t="s">
        <v>1978</v>
      </c>
      <c r="G1035" s="14">
        <v>2</v>
      </c>
      <c r="H1035" s="3">
        <f>50%</f>
        <v>0.5</v>
      </c>
      <c r="I1035" s="3">
        <f>50%+0%+0%</f>
        <v>0.5</v>
      </c>
      <c r="J1035" s="26" t="s">
        <v>1970</v>
      </c>
    </row>
    <row r="1036" spans="1:10" ht="36">
      <c r="A1036" s="1">
        <v>2023</v>
      </c>
      <c r="B1036" s="1" t="s">
        <v>9</v>
      </c>
      <c r="C1036" s="1" t="s">
        <v>766</v>
      </c>
      <c r="D1036" s="1" t="s">
        <v>1967</v>
      </c>
      <c r="E1036" s="1" t="s">
        <v>1979</v>
      </c>
      <c r="F1036" s="1" t="s">
        <v>1980</v>
      </c>
      <c r="G1036" s="14">
        <v>12000</v>
      </c>
      <c r="H1036" s="3">
        <f>8.33%+8.33%+8.33%</f>
        <v>0.24990000000000001</v>
      </c>
      <c r="I1036" s="3">
        <f>100%+100%+100%</f>
        <v>3</v>
      </c>
      <c r="J1036" s="26" t="s">
        <v>1970</v>
      </c>
    </row>
    <row r="1037" spans="1:10" ht="36">
      <c r="A1037" s="1">
        <v>2023</v>
      </c>
      <c r="B1037" s="1" t="s">
        <v>9</v>
      </c>
      <c r="C1037" s="1" t="s">
        <v>766</v>
      </c>
      <c r="D1037" s="1" t="s">
        <v>1967</v>
      </c>
      <c r="E1037" s="1" t="s">
        <v>1981</v>
      </c>
      <c r="F1037" s="1" t="s">
        <v>1974</v>
      </c>
      <c r="G1037" s="14">
        <v>1200</v>
      </c>
      <c r="H1037" s="11">
        <f>300+249+270</f>
        <v>819</v>
      </c>
      <c r="I1037" s="14">
        <f>100+100+50</f>
        <v>250</v>
      </c>
      <c r="J1037" s="26" t="s">
        <v>1970</v>
      </c>
    </row>
    <row r="1038" spans="1:10" ht="36">
      <c r="A1038" s="1">
        <v>2023</v>
      </c>
      <c r="B1038" s="1" t="s">
        <v>9</v>
      </c>
      <c r="C1038" s="1" t="s">
        <v>766</v>
      </c>
      <c r="D1038" s="1" t="s">
        <v>1967</v>
      </c>
      <c r="E1038" s="1" t="s">
        <v>1982</v>
      </c>
      <c r="F1038" s="1" t="s">
        <v>1983</v>
      </c>
      <c r="G1038" s="14">
        <v>1</v>
      </c>
      <c r="H1038" s="14">
        <f t="shared" ref="H1038:I1038" si="331">0+0+0</f>
        <v>0</v>
      </c>
      <c r="I1038" s="14">
        <f t="shared" si="331"/>
        <v>0</v>
      </c>
      <c r="J1038" s="26" t="s">
        <v>1970</v>
      </c>
    </row>
    <row r="1039" spans="1:10" ht="36">
      <c r="A1039" s="1">
        <v>2023</v>
      </c>
      <c r="B1039" s="1" t="s">
        <v>9</v>
      </c>
      <c r="C1039" s="1" t="s">
        <v>766</v>
      </c>
      <c r="D1039" s="1" t="s">
        <v>1967</v>
      </c>
      <c r="E1039" s="1" t="s">
        <v>1981</v>
      </c>
      <c r="F1039" s="1" t="s">
        <v>1974</v>
      </c>
      <c r="G1039" s="14">
        <v>53</v>
      </c>
      <c r="H1039" s="11">
        <f t="shared" ref="H1039:H1041" si="332">18+18+17</f>
        <v>53</v>
      </c>
      <c r="I1039" s="14">
        <f t="shared" ref="I1039:I1041" si="333">0+0+0</f>
        <v>0</v>
      </c>
      <c r="J1039" s="26" t="s">
        <v>1970</v>
      </c>
    </row>
    <row r="1040" spans="1:10" ht="36">
      <c r="A1040" s="1">
        <v>2023</v>
      </c>
      <c r="B1040" s="1" t="s">
        <v>9</v>
      </c>
      <c r="C1040" s="1" t="s">
        <v>766</v>
      </c>
      <c r="D1040" s="1" t="s">
        <v>1967</v>
      </c>
      <c r="E1040" s="1" t="s">
        <v>1981</v>
      </c>
      <c r="F1040" s="1" t="s">
        <v>1974</v>
      </c>
      <c r="G1040" s="14">
        <v>53</v>
      </c>
      <c r="H1040" s="11">
        <f t="shared" si="332"/>
        <v>53</v>
      </c>
      <c r="I1040" s="14">
        <f t="shared" si="333"/>
        <v>0</v>
      </c>
      <c r="J1040" s="26" t="s">
        <v>1970</v>
      </c>
    </row>
    <row r="1041" spans="1:10" ht="36">
      <c r="A1041" s="1">
        <v>2023</v>
      </c>
      <c r="B1041" s="1" t="s">
        <v>9</v>
      </c>
      <c r="C1041" s="1" t="s">
        <v>766</v>
      </c>
      <c r="D1041" s="1" t="s">
        <v>1967</v>
      </c>
      <c r="E1041" s="1" t="s">
        <v>1981</v>
      </c>
      <c r="F1041" s="1" t="s">
        <v>1974</v>
      </c>
      <c r="G1041" s="14">
        <v>53</v>
      </c>
      <c r="H1041" s="11">
        <f t="shared" si="332"/>
        <v>53</v>
      </c>
      <c r="I1041" s="14">
        <f t="shared" si="333"/>
        <v>0</v>
      </c>
      <c r="J1041" s="26" t="s">
        <v>1970</v>
      </c>
    </row>
    <row r="1042" spans="1:10" ht="36">
      <c r="A1042" s="1">
        <v>2023</v>
      </c>
      <c r="B1042" s="1" t="s">
        <v>9</v>
      </c>
      <c r="C1042" s="1" t="s">
        <v>766</v>
      </c>
      <c r="D1042" s="1" t="s">
        <v>1967</v>
      </c>
      <c r="E1042" s="1" t="s">
        <v>1984</v>
      </c>
      <c r="F1042" s="1" t="s">
        <v>1978</v>
      </c>
      <c r="G1042" s="14">
        <v>12000</v>
      </c>
      <c r="H1042" s="14">
        <f>1+0+2</f>
        <v>3</v>
      </c>
      <c r="I1042" s="14">
        <f>1+0+0</f>
        <v>1</v>
      </c>
      <c r="J1042" s="26" t="s">
        <v>1970</v>
      </c>
    </row>
    <row r="1043" spans="1:10" ht="36">
      <c r="A1043" s="1">
        <v>2023</v>
      </c>
      <c r="B1043" s="1" t="s">
        <v>9</v>
      </c>
      <c r="C1043" s="1" t="s">
        <v>766</v>
      </c>
      <c r="D1043" s="1" t="s">
        <v>1985</v>
      </c>
      <c r="E1043" s="1" t="s">
        <v>1986</v>
      </c>
      <c r="F1043" s="1" t="s">
        <v>320</v>
      </c>
      <c r="G1043" s="14">
        <v>0</v>
      </c>
      <c r="H1043" s="3">
        <f t="shared" ref="H1043:H1044" si="334">0%+0%+100%</f>
        <v>1</v>
      </c>
      <c r="I1043" s="3">
        <f t="shared" ref="I1043:I1044" si="335">0+0+100%</f>
        <v>1</v>
      </c>
      <c r="J1043" s="26" t="s">
        <v>1987</v>
      </c>
    </row>
    <row r="1044" spans="1:10" ht="36">
      <c r="A1044" s="1">
        <v>2023</v>
      </c>
      <c r="B1044" s="1" t="s">
        <v>9</v>
      </c>
      <c r="C1044" s="1" t="s">
        <v>766</v>
      </c>
      <c r="D1044" s="1" t="s">
        <v>1985</v>
      </c>
      <c r="E1044" s="1" t="s">
        <v>151</v>
      </c>
      <c r="F1044" s="1" t="s">
        <v>152</v>
      </c>
      <c r="G1044" s="14">
        <v>0</v>
      </c>
      <c r="H1044" s="3">
        <f t="shared" si="334"/>
        <v>1</v>
      </c>
      <c r="I1044" s="3">
        <f t="shared" si="335"/>
        <v>1</v>
      </c>
      <c r="J1044" s="26" t="s">
        <v>1987</v>
      </c>
    </row>
    <row r="1045" spans="1:10" ht="60">
      <c r="A1045" s="1">
        <v>2023</v>
      </c>
      <c r="B1045" s="1" t="s">
        <v>9</v>
      </c>
      <c r="C1045" s="1" t="s">
        <v>766</v>
      </c>
      <c r="D1045" s="1" t="s">
        <v>1985</v>
      </c>
      <c r="E1045" s="1" t="s">
        <v>1988</v>
      </c>
      <c r="F1045" s="1" t="s">
        <v>1989</v>
      </c>
      <c r="G1045" s="14">
        <v>160</v>
      </c>
      <c r="H1045" s="4">
        <f>6%+6%+6%</f>
        <v>0.18</v>
      </c>
      <c r="I1045" s="4">
        <f>10.6%+6.9%+3.7%</f>
        <v>0.21199999999999999</v>
      </c>
      <c r="J1045" s="26" t="s">
        <v>1987</v>
      </c>
    </row>
    <row r="1046" spans="1:10" ht="48">
      <c r="A1046" s="1">
        <v>2023</v>
      </c>
      <c r="B1046" s="1" t="s">
        <v>9</v>
      </c>
      <c r="C1046" s="1" t="s">
        <v>766</v>
      </c>
      <c r="D1046" s="1" t="s">
        <v>1985</v>
      </c>
      <c r="E1046" s="1" t="s">
        <v>1990</v>
      </c>
      <c r="F1046" s="1" t="s">
        <v>1991</v>
      </c>
      <c r="G1046" s="14">
        <v>80</v>
      </c>
      <c r="H1046" s="4">
        <f>8.75%+8.75%+8.75%</f>
        <v>0.26249999999999996</v>
      </c>
      <c r="I1046" s="4">
        <f>7.5%+12.5%+10%</f>
        <v>0.30000000000000004</v>
      </c>
      <c r="J1046" s="26" t="s">
        <v>1987</v>
      </c>
    </row>
    <row r="1047" spans="1:10" ht="48">
      <c r="A1047" s="1">
        <v>2023</v>
      </c>
      <c r="B1047" s="1" t="s">
        <v>9</v>
      </c>
      <c r="C1047" s="1" t="s">
        <v>766</v>
      </c>
      <c r="D1047" s="1" t="s">
        <v>1985</v>
      </c>
      <c r="E1047" s="1" t="s">
        <v>1992</v>
      </c>
      <c r="F1047" s="1" t="s">
        <v>1993</v>
      </c>
      <c r="G1047" s="14">
        <v>1</v>
      </c>
      <c r="H1047" s="3">
        <f>0+100%+0</f>
        <v>1</v>
      </c>
      <c r="I1047" s="4">
        <f>100%+0+0</f>
        <v>1</v>
      </c>
      <c r="J1047" s="26" t="s">
        <v>1987</v>
      </c>
    </row>
    <row r="1048" spans="1:10" ht="48">
      <c r="A1048" s="1">
        <v>2023</v>
      </c>
      <c r="B1048" s="1" t="s">
        <v>9</v>
      </c>
      <c r="C1048" s="1" t="s">
        <v>766</v>
      </c>
      <c r="D1048" s="1" t="s">
        <v>1985</v>
      </c>
      <c r="E1048" s="1" t="s">
        <v>1994</v>
      </c>
      <c r="F1048" s="1" t="s">
        <v>1989</v>
      </c>
      <c r="G1048" s="14">
        <v>160</v>
      </c>
      <c r="H1048" s="14">
        <f>15+16+15</f>
        <v>46</v>
      </c>
      <c r="I1048" s="14">
        <f>23+15+8</f>
        <v>46</v>
      </c>
      <c r="J1048" s="26" t="s">
        <v>1987</v>
      </c>
    </row>
    <row r="1049" spans="1:10" ht="48">
      <c r="A1049" s="1">
        <v>2023</v>
      </c>
      <c r="B1049" s="1" t="s">
        <v>9</v>
      </c>
      <c r="C1049" s="1" t="s">
        <v>766</v>
      </c>
      <c r="D1049" s="1" t="s">
        <v>1985</v>
      </c>
      <c r="E1049" s="1" t="s">
        <v>1995</v>
      </c>
      <c r="F1049" s="1" t="s">
        <v>1991</v>
      </c>
      <c r="G1049" s="14">
        <v>80</v>
      </c>
      <c r="H1049" s="14">
        <f>5+5+1</f>
        <v>11</v>
      </c>
      <c r="I1049" s="14">
        <f>6+10+8</f>
        <v>24</v>
      </c>
      <c r="J1049" s="26" t="s">
        <v>1987</v>
      </c>
    </row>
    <row r="1050" spans="1:10" ht="48">
      <c r="A1050" s="1">
        <v>2023</v>
      </c>
      <c r="B1050" s="1" t="s">
        <v>9</v>
      </c>
      <c r="C1050" s="1" t="s">
        <v>766</v>
      </c>
      <c r="D1050" s="1" t="s">
        <v>1985</v>
      </c>
      <c r="E1050" s="1" t="s">
        <v>1996</v>
      </c>
      <c r="F1050" s="1" t="s">
        <v>1997</v>
      </c>
      <c r="G1050" s="14">
        <v>1</v>
      </c>
      <c r="H1050" s="14">
        <f>0+1+0</f>
        <v>1</v>
      </c>
      <c r="I1050" s="14">
        <f>1+0+0</f>
        <v>1</v>
      </c>
      <c r="J1050" s="26" t="s">
        <v>1987</v>
      </c>
    </row>
    <row r="1051" spans="1:10" ht="36">
      <c r="A1051" s="1">
        <v>2023</v>
      </c>
      <c r="B1051" s="1" t="s">
        <v>9</v>
      </c>
      <c r="C1051" s="1" t="s">
        <v>766</v>
      </c>
      <c r="D1051" s="1" t="s">
        <v>1998</v>
      </c>
      <c r="E1051" s="1" t="s">
        <v>1999</v>
      </c>
      <c r="F1051" s="1" t="s">
        <v>2000</v>
      </c>
      <c r="G1051" s="2">
        <v>0</v>
      </c>
      <c r="H1051" s="3">
        <f t="shared" ref="H1051:I1051" si="336">0+0+100%</f>
        <v>1</v>
      </c>
      <c r="I1051" s="3">
        <f t="shared" si="336"/>
        <v>1</v>
      </c>
      <c r="J1051" s="26" t="s">
        <v>2001</v>
      </c>
    </row>
    <row r="1052" spans="1:10" ht="36">
      <c r="A1052" s="1">
        <v>2023</v>
      </c>
      <c r="B1052" s="1" t="s">
        <v>9</v>
      </c>
      <c r="C1052" s="1" t="s">
        <v>766</v>
      </c>
      <c r="D1052" s="1" t="s">
        <v>1998</v>
      </c>
      <c r="E1052" s="1" t="s">
        <v>2002</v>
      </c>
      <c r="F1052" s="1" t="s">
        <v>2003</v>
      </c>
      <c r="G1052" s="2">
        <v>0</v>
      </c>
      <c r="H1052" s="3">
        <f t="shared" ref="H1052:I1052" si="337">0+0+100%</f>
        <v>1</v>
      </c>
      <c r="I1052" s="3">
        <f t="shared" si="337"/>
        <v>1</v>
      </c>
      <c r="J1052" s="26" t="s">
        <v>2001</v>
      </c>
    </row>
    <row r="1053" spans="1:10" ht="36">
      <c r="A1053" s="1">
        <v>2023</v>
      </c>
      <c r="B1053" s="1" t="s">
        <v>9</v>
      </c>
      <c r="C1053" s="1" t="s">
        <v>766</v>
      </c>
      <c r="D1053" s="1" t="s">
        <v>1998</v>
      </c>
      <c r="E1053" s="1" t="s">
        <v>2004</v>
      </c>
      <c r="F1053" s="1" t="s">
        <v>2005</v>
      </c>
      <c r="G1053" s="11">
        <v>3851</v>
      </c>
      <c r="H1053" s="4">
        <f>3.28%+1.64%+0.98%</f>
        <v>5.8999999999999997E-2</v>
      </c>
      <c r="I1053" s="4">
        <f>23%+14%+6%</f>
        <v>0.43</v>
      </c>
      <c r="J1053" s="26" t="s">
        <v>2001</v>
      </c>
    </row>
    <row r="1054" spans="1:10" ht="48">
      <c r="A1054" s="1">
        <v>2023</v>
      </c>
      <c r="B1054" s="1" t="s">
        <v>9</v>
      </c>
      <c r="C1054" s="1" t="s">
        <v>766</v>
      </c>
      <c r="D1054" s="1" t="s">
        <v>1998</v>
      </c>
      <c r="E1054" s="1" t="s">
        <v>2006</v>
      </c>
      <c r="F1054" s="1" t="s">
        <v>1991</v>
      </c>
      <c r="G1054" s="2">
        <v>12</v>
      </c>
      <c r="H1054" s="27">
        <f>8.33%+8.33%+8.33%</f>
        <v>0.24990000000000001</v>
      </c>
      <c r="I1054" s="4">
        <f>8%+0%+8%</f>
        <v>0.16</v>
      </c>
      <c r="J1054" s="26" t="s">
        <v>2001</v>
      </c>
    </row>
    <row r="1055" spans="1:10" ht="48">
      <c r="A1055" s="1">
        <v>2023</v>
      </c>
      <c r="B1055" s="1" t="s">
        <v>9</v>
      </c>
      <c r="C1055" s="1" t="s">
        <v>766</v>
      </c>
      <c r="D1055" s="1" t="s">
        <v>1998</v>
      </c>
      <c r="E1055" s="1" t="s">
        <v>2007</v>
      </c>
      <c r="F1055" s="1" t="s">
        <v>2008</v>
      </c>
      <c r="G1055" s="2">
        <v>148</v>
      </c>
      <c r="H1055" s="27">
        <f>5.33%+5.33%+4%</f>
        <v>0.14660000000000001</v>
      </c>
      <c r="I1055" s="4">
        <f>19%+14%+7%</f>
        <v>0.4</v>
      </c>
      <c r="J1055" s="26" t="s">
        <v>2001</v>
      </c>
    </row>
    <row r="1056" spans="1:10" ht="36">
      <c r="A1056" s="1">
        <v>2023</v>
      </c>
      <c r="B1056" s="1" t="s">
        <v>9</v>
      </c>
      <c r="C1056" s="1" t="s">
        <v>766</v>
      </c>
      <c r="D1056" s="1" t="s">
        <v>1998</v>
      </c>
      <c r="E1056" s="1" t="s">
        <v>2009</v>
      </c>
      <c r="F1056" s="1" t="s">
        <v>2010</v>
      </c>
      <c r="G1056" s="11">
        <v>1500</v>
      </c>
      <c r="H1056" s="14">
        <f t="shared" ref="H1056:H1057" si="338">50+25+15</f>
        <v>90</v>
      </c>
      <c r="I1056" s="11">
        <f>358+206+95</f>
        <v>659</v>
      </c>
      <c r="J1056" s="26" t="s">
        <v>2001</v>
      </c>
    </row>
    <row r="1057" spans="1:10" ht="36">
      <c r="A1057" s="1">
        <v>2023</v>
      </c>
      <c r="B1057" s="1" t="s">
        <v>9</v>
      </c>
      <c r="C1057" s="1" t="s">
        <v>766</v>
      </c>
      <c r="D1057" s="1" t="s">
        <v>1998</v>
      </c>
      <c r="E1057" s="1" t="s">
        <v>2009</v>
      </c>
      <c r="F1057" s="1" t="s">
        <v>2010</v>
      </c>
      <c r="G1057" s="11">
        <v>1500</v>
      </c>
      <c r="H1057" s="14">
        <f t="shared" si="338"/>
        <v>90</v>
      </c>
      <c r="I1057" s="11">
        <f>357+206+94</f>
        <v>657</v>
      </c>
      <c r="J1057" s="26" t="s">
        <v>2001</v>
      </c>
    </row>
    <row r="1058" spans="1:10" ht="48">
      <c r="A1058" s="1">
        <v>2023</v>
      </c>
      <c r="B1058" s="1" t="s">
        <v>9</v>
      </c>
      <c r="C1058" s="1" t="s">
        <v>766</v>
      </c>
      <c r="D1058" s="1" t="s">
        <v>1998</v>
      </c>
      <c r="E1058" s="1" t="s">
        <v>1995</v>
      </c>
      <c r="F1058" s="1" t="s">
        <v>1991</v>
      </c>
      <c r="G1058" s="11">
        <v>6</v>
      </c>
      <c r="H1058" s="14">
        <f>1+1+1</f>
        <v>3</v>
      </c>
      <c r="I1058" s="14">
        <f>1+0+1</f>
        <v>2</v>
      </c>
      <c r="J1058" s="26" t="s">
        <v>2001</v>
      </c>
    </row>
    <row r="1059" spans="1:10" ht="36">
      <c r="A1059" s="1">
        <v>2023</v>
      </c>
      <c r="B1059" s="1" t="s">
        <v>9</v>
      </c>
      <c r="C1059" s="1" t="s">
        <v>766</v>
      </c>
      <c r="D1059" s="1" t="s">
        <v>1998</v>
      </c>
      <c r="E1059" s="1" t="s">
        <v>2011</v>
      </c>
      <c r="F1059" s="1" t="s">
        <v>2008</v>
      </c>
      <c r="G1059" s="11">
        <v>70</v>
      </c>
      <c r="H1059" s="14">
        <f>8+8+6</f>
        <v>22</v>
      </c>
      <c r="I1059" s="14">
        <f>28+21+10</f>
        <v>59</v>
      </c>
      <c r="J1059" s="26" t="s">
        <v>2001</v>
      </c>
    </row>
    <row r="1060" spans="1:10" ht="48">
      <c r="A1060" s="1">
        <v>2023</v>
      </c>
      <c r="B1060" s="1" t="s">
        <v>9</v>
      </c>
      <c r="C1060" s="1" t="s">
        <v>766</v>
      </c>
      <c r="D1060" s="1" t="s">
        <v>2012</v>
      </c>
      <c r="E1060" s="1" t="s">
        <v>1986</v>
      </c>
      <c r="F1060" s="1" t="s">
        <v>320</v>
      </c>
      <c r="G1060" s="2">
        <v>0</v>
      </c>
      <c r="H1060" s="3">
        <f t="shared" ref="H1060:H1061" si="339">0+0+100%</f>
        <v>1</v>
      </c>
      <c r="I1060" s="3">
        <v>0.94</v>
      </c>
      <c r="J1060" s="26" t="s">
        <v>2013</v>
      </c>
    </row>
    <row r="1061" spans="1:10" ht="48">
      <c r="A1061" s="1">
        <v>2023</v>
      </c>
      <c r="B1061" s="1" t="s">
        <v>9</v>
      </c>
      <c r="C1061" s="1" t="s">
        <v>766</v>
      </c>
      <c r="D1061" s="1" t="s">
        <v>2012</v>
      </c>
      <c r="E1061" s="1" t="s">
        <v>151</v>
      </c>
      <c r="F1061" s="1" t="s">
        <v>152</v>
      </c>
      <c r="G1061" s="2">
        <v>0</v>
      </c>
      <c r="H1061" s="3">
        <f t="shared" si="339"/>
        <v>1</v>
      </c>
      <c r="I1061" s="3">
        <v>0.94</v>
      </c>
      <c r="J1061" s="26" t="s">
        <v>2013</v>
      </c>
    </row>
    <row r="1062" spans="1:10" ht="48">
      <c r="A1062" s="1">
        <v>2023</v>
      </c>
      <c r="B1062" s="1" t="s">
        <v>9</v>
      </c>
      <c r="C1062" s="1" t="s">
        <v>766</v>
      </c>
      <c r="D1062" s="1" t="s">
        <v>2012</v>
      </c>
      <c r="E1062" s="1" t="s">
        <v>2014</v>
      </c>
      <c r="F1062" s="1" t="s">
        <v>2015</v>
      </c>
      <c r="G1062" s="2">
        <v>0</v>
      </c>
      <c r="H1062" s="3">
        <f t="shared" ref="H1062:H1063" si="340">8.33%+8.33%+8.33%</f>
        <v>0.24990000000000001</v>
      </c>
      <c r="I1062" s="3">
        <f>0+0+0</f>
        <v>0</v>
      </c>
      <c r="J1062" s="26" t="s">
        <v>2013</v>
      </c>
    </row>
    <row r="1063" spans="1:10" ht="48">
      <c r="A1063" s="1">
        <v>2023</v>
      </c>
      <c r="B1063" s="1" t="s">
        <v>9</v>
      </c>
      <c r="C1063" s="1" t="s">
        <v>766</v>
      </c>
      <c r="D1063" s="1" t="s">
        <v>2012</v>
      </c>
      <c r="E1063" s="1" t="s">
        <v>2016</v>
      </c>
      <c r="F1063" s="1" t="s">
        <v>2017</v>
      </c>
      <c r="G1063" s="2">
        <v>0</v>
      </c>
      <c r="H1063" s="3">
        <f t="shared" si="340"/>
        <v>0.24990000000000001</v>
      </c>
      <c r="I1063" s="4">
        <f>51.66%+40%+22.5%</f>
        <v>1.1415999999999999</v>
      </c>
      <c r="J1063" s="26" t="s">
        <v>2013</v>
      </c>
    </row>
    <row r="1064" spans="1:10" ht="48">
      <c r="A1064" s="1">
        <v>2023</v>
      </c>
      <c r="B1064" s="1" t="s">
        <v>9</v>
      </c>
      <c r="C1064" s="1" t="s">
        <v>766</v>
      </c>
      <c r="D1064" s="1" t="s">
        <v>2012</v>
      </c>
      <c r="E1064" s="1" t="s">
        <v>2018</v>
      </c>
      <c r="F1064" s="1" t="s">
        <v>2019</v>
      </c>
      <c r="G1064" s="2">
        <v>462</v>
      </c>
      <c r="H1064" s="3">
        <f>8.33%+7.92%+7.92%</f>
        <v>0.24169999999999997</v>
      </c>
      <c r="I1064" s="4">
        <f>6.8%+7.29%+3.12%</f>
        <v>0.17210000000000003</v>
      </c>
      <c r="J1064" s="26" t="s">
        <v>2013</v>
      </c>
    </row>
    <row r="1065" spans="1:10" ht="48">
      <c r="A1065" s="1">
        <v>2023</v>
      </c>
      <c r="B1065" s="1" t="s">
        <v>9</v>
      </c>
      <c r="C1065" s="1" t="s">
        <v>766</v>
      </c>
      <c r="D1065" s="1" t="s">
        <v>2012</v>
      </c>
      <c r="E1065" s="1" t="s">
        <v>2020</v>
      </c>
      <c r="F1065" s="1" t="s">
        <v>2021</v>
      </c>
      <c r="G1065" s="2">
        <v>636</v>
      </c>
      <c r="H1065" s="3">
        <f>8.33%+8.33%+8.33%</f>
        <v>0.24990000000000001</v>
      </c>
      <c r="I1065" s="4">
        <f>5.97%+5.69%+4.16%</f>
        <v>0.15820000000000001</v>
      </c>
      <c r="J1065" s="26" t="s">
        <v>2013</v>
      </c>
    </row>
    <row r="1066" spans="1:10" ht="48">
      <c r="A1066" s="1">
        <v>2023</v>
      </c>
      <c r="B1066" s="1" t="s">
        <v>9</v>
      </c>
      <c r="C1066" s="1" t="s">
        <v>766</v>
      </c>
      <c r="D1066" s="1" t="s">
        <v>2012</v>
      </c>
      <c r="E1066" s="1" t="s">
        <v>2022</v>
      </c>
      <c r="F1066" s="1" t="s">
        <v>2023</v>
      </c>
      <c r="G1066" s="2">
        <v>16753</v>
      </c>
      <c r="H1066" s="4">
        <f>1.76%+1.76%+1.76%</f>
        <v>5.28E-2</v>
      </c>
      <c r="I1066" s="4">
        <f>8.3%+0.9%+0.89%</f>
        <v>0.1009</v>
      </c>
      <c r="J1066" s="26" t="s">
        <v>2013</v>
      </c>
    </row>
    <row r="1067" spans="1:10" ht="48">
      <c r="A1067" s="1">
        <v>2023</v>
      </c>
      <c r="B1067" s="1" t="s">
        <v>9</v>
      </c>
      <c r="C1067" s="1" t="s">
        <v>766</v>
      </c>
      <c r="D1067" s="1" t="s">
        <v>2012</v>
      </c>
      <c r="E1067" s="1" t="s">
        <v>2024</v>
      </c>
      <c r="F1067" s="1" t="s">
        <v>2015</v>
      </c>
      <c r="G1067" s="11">
        <v>240</v>
      </c>
      <c r="H1067" s="11">
        <f>20+20+20</f>
        <v>60</v>
      </c>
      <c r="I1067" s="11">
        <f>0+0+0</f>
        <v>0</v>
      </c>
      <c r="J1067" s="26" t="s">
        <v>2013</v>
      </c>
    </row>
    <row r="1068" spans="1:10" ht="48">
      <c r="A1068" s="1">
        <v>2023</v>
      </c>
      <c r="B1068" s="1" t="s">
        <v>9</v>
      </c>
      <c r="C1068" s="1" t="s">
        <v>766</v>
      </c>
      <c r="D1068" s="1" t="s">
        <v>2012</v>
      </c>
      <c r="E1068" s="1" t="s">
        <v>2025</v>
      </c>
      <c r="F1068" s="1" t="s">
        <v>2026</v>
      </c>
      <c r="G1068" s="11">
        <v>300</v>
      </c>
      <c r="H1068" s="11">
        <f>100+100+100</f>
        <v>300</v>
      </c>
      <c r="I1068" s="11">
        <f>60+48+27</f>
        <v>135</v>
      </c>
      <c r="J1068" s="26" t="s">
        <v>2013</v>
      </c>
    </row>
    <row r="1069" spans="1:10" ht="48">
      <c r="A1069" s="1">
        <v>2023</v>
      </c>
      <c r="B1069" s="1" t="s">
        <v>9</v>
      </c>
      <c r="C1069" s="1" t="s">
        <v>766</v>
      </c>
      <c r="D1069" s="1" t="s">
        <v>2012</v>
      </c>
      <c r="E1069" s="1" t="s">
        <v>2027</v>
      </c>
      <c r="F1069" s="1" t="s">
        <v>1991</v>
      </c>
      <c r="G1069" s="11">
        <v>480</v>
      </c>
      <c r="H1069" s="11">
        <f>60+55+40</f>
        <v>155</v>
      </c>
      <c r="I1069" s="11">
        <f>33+35+15</f>
        <v>83</v>
      </c>
      <c r="J1069" s="26" t="s">
        <v>2013</v>
      </c>
    </row>
    <row r="1070" spans="1:10" ht="48">
      <c r="A1070" s="1">
        <v>2023</v>
      </c>
      <c r="B1070" s="1" t="s">
        <v>9</v>
      </c>
      <c r="C1070" s="1" t="s">
        <v>766</v>
      </c>
      <c r="D1070" s="1" t="s">
        <v>2012</v>
      </c>
      <c r="E1070" s="1" t="s">
        <v>2028</v>
      </c>
      <c r="F1070" s="1" t="s">
        <v>2029</v>
      </c>
      <c r="G1070" s="11">
        <v>520</v>
      </c>
      <c r="H1070" s="11">
        <f>40+30+10</f>
        <v>80</v>
      </c>
      <c r="I1070" s="11">
        <f>43+41+30</f>
        <v>114</v>
      </c>
      <c r="J1070" s="26" t="s">
        <v>2013</v>
      </c>
    </row>
    <row r="1071" spans="1:10" ht="48">
      <c r="A1071" s="1">
        <v>2023</v>
      </c>
      <c r="B1071" s="1" t="s">
        <v>9</v>
      </c>
      <c r="C1071" s="1" t="s">
        <v>766</v>
      </c>
      <c r="D1071" s="1" t="s">
        <v>2012</v>
      </c>
      <c r="E1071" s="1" t="s">
        <v>2030</v>
      </c>
      <c r="F1071" s="1" t="s">
        <v>2031</v>
      </c>
      <c r="G1071" s="11">
        <v>17000</v>
      </c>
      <c r="H1071" s="11">
        <f>300+300+300</f>
        <v>900</v>
      </c>
      <c r="I1071" s="11">
        <f>1411+169+152</f>
        <v>1732</v>
      </c>
      <c r="J1071" s="26" t="s">
        <v>2013</v>
      </c>
    </row>
    <row r="1072" spans="1:10" ht="48">
      <c r="A1072" s="1">
        <v>2023</v>
      </c>
      <c r="B1072" s="1" t="s">
        <v>9</v>
      </c>
      <c r="C1072" s="1" t="s">
        <v>10</v>
      </c>
      <c r="D1072" s="1" t="s">
        <v>2032</v>
      </c>
      <c r="E1072" s="1" t="s">
        <v>2033</v>
      </c>
      <c r="F1072" s="1" t="s">
        <v>2034</v>
      </c>
      <c r="G1072" s="2">
        <v>0</v>
      </c>
      <c r="H1072" s="4">
        <v>1</v>
      </c>
      <c r="I1072" s="4">
        <v>1</v>
      </c>
      <c r="J1072" s="1" t="s">
        <v>2032</v>
      </c>
    </row>
    <row r="1073" spans="1:10" ht="36">
      <c r="A1073" s="1">
        <v>2023</v>
      </c>
      <c r="B1073" s="1" t="s">
        <v>9</v>
      </c>
      <c r="C1073" s="1" t="s">
        <v>10</v>
      </c>
      <c r="D1073" s="1" t="s">
        <v>2032</v>
      </c>
      <c r="E1073" s="1" t="s">
        <v>2035</v>
      </c>
      <c r="F1073" s="1" t="s">
        <v>2036</v>
      </c>
      <c r="G1073" s="2">
        <v>0</v>
      </c>
      <c r="H1073" s="4">
        <v>1</v>
      </c>
      <c r="I1073" s="4">
        <v>1</v>
      </c>
      <c r="J1073" s="1" t="s">
        <v>2032</v>
      </c>
    </row>
    <row r="1074" spans="1:10" ht="36">
      <c r="A1074" s="1">
        <v>2023</v>
      </c>
      <c r="B1074" s="1" t="s">
        <v>9</v>
      </c>
      <c r="C1074" s="1" t="s">
        <v>10</v>
      </c>
      <c r="D1074" s="1" t="s">
        <v>2032</v>
      </c>
      <c r="E1074" s="1" t="s">
        <v>2037</v>
      </c>
      <c r="F1074" s="1" t="s">
        <v>2038</v>
      </c>
      <c r="G1074" s="3">
        <v>0</v>
      </c>
      <c r="H1074" s="4">
        <v>0.249</v>
      </c>
      <c r="I1074" s="4">
        <v>0.249</v>
      </c>
      <c r="J1074" s="1" t="s">
        <v>2032</v>
      </c>
    </row>
    <row r="1075" spans="1:10" ht="24">
      <c r="A1075" s="1">
        <v>2023</v>
      </c>
      <c r="B1075" s="1" t="s">
        <v>9</v>
      </c>
      <c r="C1075" s="1" t="s">
        <v>10</v>
      </c>
      <c r="D1075" s="1" t="s">
        <v>2032</v>
      </c>
      <c r="E1075" s="1" t="s">
        <v>2039</v>
      </c>
      <c r="F1075" s="1" t="s">
        <v>1190</v>
      </c>
      <c r="G1075" s="3">
        <v>0</v>
      </c>
      <c r="H1075" s="4">
        <v>0.249</v>
      </c>
      <c r="I1075" s="4">
        <v>0.249</v>
      </c>
      <c r="J1075" s="1" t="s">
        <v>2032</v>
      </c>
    </row>
    <row r="1076" spans="1:10" ht="72">
      <c r="A1076" s="1">
        <v>2023</v>
      </c>
      <c r="B1076" s="1" t="s">
        <v>9</v>
      </c>
      <c r="C1076" s="1" t="s">
        <v>10</v>
      </c>
      <c r="D1076" s="1" t="s">
        <v>2032</v>
      </c>
      <c r="E1076" s="1" t="s">
        <v>2040</v>
      </c>
      <c r="F1076" s="1" t="s">
        <v>2041</v>
      </c>
      <c r="G1076" s="3">
        <v>1</v>
      </c>
      <c r="H1076" s="4">
        <v>0</v>
      </c>
      <c r="I1076" s="3">
        <v>0</v>
      </c>
      <c r="J1076" s="1" t="s">
        <v>2032</v>
      </c>
    </row>
    <row r="1077" spans="1:10" ht="108">
      <c r="A1077" s="1">
        <v>2023</v>
      </c>
      <c r="B1077" s="1" t="s">
        <v>9</v>
      </c>
      <c r="C1077" s="1" t="s">
        <v>10</v>
      </c>
      <c r="D1077" s="1" t="s">
        <v>2032</v>
      </c>
      <c r="E1077" s="1" t="s">
        <v>2042</v>
      </c>
      <c r="F1077" s="1" t="s">
        <v>2043</v>
      </c>
      <c r="G1077" s="3">
        <v>1</v>
      </c>
      <c r="H1077" s="4">
        <v>0.28499999999999998</v>
      </c>
      <c r="I1077" s="4">
        <v>0.14299999999999999</v>
      </c>
      <c r="J1077" s="1" t="s">
        <v>2032</v>
      </c>
    </row>
    <row r="1078" spans="1:10" ht="36">
      <c r="A1078" s="1">
        <v>2023</v>
      </c>
      <c r="B1078" s="1" t="s">
        <v>9</v>
      </c>
      <c r="C1078" s="1" t="s">
        <v>10</v>
      </c>
      <c r="D1078" s="1" t="s">
        <v>2032</v>
      </c>
      <c r="E1078" s="1" t="s">
        <v>2044</v>
      </c>
      <c r="F1078" s="1" t="s">
        <v>2045</v>
      </c>
      <c r="G1078" s="3">
        <v>1</v>
      </c>
      <c r="H1078" s="4">
        <v>0.249</v>
      </c>
      <c r="I1078" s="4">
        <v>0.249</v>
      </c>
      <c r="J1078" s="1" t="s">
        <v>2032</v>
      </c>
    </row>
    <row r="1079" spans="1:10" ht="48">
      <c r="A1079" s="1">
        <v>2023</v>
      </c>
      <c r="B1079" s="1" t="s">
        <v>9</v>
      </c>
      <c r="C1079" s="1" t="s">
        <v>10</v>
      </c>
      <c r="D1079" s="1" t="s">
        <v>2032</v>
      </c>
      <c r="E1079" s="1" t="s">
        <v>2046</v>
      </c>
      <c r="F1079" s="1" t="s">
        <v>2047</v>
      </c>
      <c r="G1079" s="11">
        <v>150</v>
      </c>
      <c r="H1079" s="2">
        <f t="shared" ref="H1079:I1079" si="341">12+15+10</f>
        <v>37</v>
      </c>
      <c r="I1079" s="5">
        <f t="shared" si="341"/>
        <v>37</v>
      </c>
      <c r="J1079" s="1" t="s">
        <v>2032</v>
      </c>
    </row>
    <row r="1080" spans="1:10" ht="36">
      <c r="A1080" s="1">
        <v>2023</v>
      </c>
      <c r="B1080" s="1" t="s">
        <v>9</v>
      </c>
      <c r="C1080" s="1" t="s">
        <v>10</v>
      </c>
      <c r="D1080" s="1" t="s">
        <v>2032</v>
      </c>
      <c r="E1080" s="1" t="s">
        <v>2048</v>
      </c>
      <c r="F1080" s="1" t="s">
        <v>2049</v>
      </c>
      <c r="G1080" s="11">
        <v>40</v>
      </c>
      <c r="H1080" s="2">
        <v>10</v>
      </c>
      <c r="I1080" s="2">
        <f>5+3+2</f>
        <v>10</v>
      </c>
      <c r="J1080" s="1" t="s">
        <v>2032</v>
      </c>
    </row>
    <row r="1081" spans="1:10" ht="24">
      <c r="A1081" s="1">
        <v>2023</v>
      </c>
      <c r="B1081" s="1" t="s">
        <v>9</v>
      </c>
      <c r="C1081" s="1" t="s">
        <v>10</v>
      </c>
      <c r="D1081" s="1" t="s">
        <v>2032</v>
      </c>
      <c r="E1081" s="1" t="s">
        <v>2050</v>
      </c>
      <c r="F1081" s="1" t="s">
        <v>2051</v>
      </c>
      <c r="G1081" s="11">
        <v>3000</v>
      </c>
      <c r="H1081" s="11">
        <v>0</v>
      </c>
      <c r="I1081" s="11">
        <v>0</v>
      </c>
      <c r="J1081" s="1" t="s">
        <v>2032</v>
      </c>
    </row>
    <row r="1082" spans="1:10" ht="48">
      <c r="A1082" s="1">
        <v>2023</v>
      </c>
      <c r="B1082" s="1" t="s">
        <v>9</v>
      </c>
      <c r="C1082" s="1" t="s">
        <v>10</v>
      </c>
      <c r="D1082" s="1" t="s">
        <v>2032</v>
      </c>
      <c r="E1082" s="1" t="s">
        <v>2052</v>
      </c>
      <c r="F1082" s="1" t="s">
        <v>2053</v>
      </c>
      <c r="G1082" s="11">
        <v>4</v>
      </c>
      <c r="H1082" s="11">
        <v>1</v>
      </c>
      <c r="I1082" s="11">
        <v>1</v>
      </c>
      <c r="J1082" s="1" t="s">
        <v>2032</v>
      </c>
    </row>
    <row r="1083" spans="1:10" ht="24">
      <c r="A1083" s="1">
        <v>2023</v>
      </c>
      <c r="B1083" s="1" t="s">
        <v>9</v>
      </c>
      <c r="C1083" s="1" t="s">
        <v>10</v>
      </c>
      <c r="D1083" s="1" t="s">
        <v>2032</v>
      </c>
      <c r="E1083" s="1" t="s">
        <v>2054</v>
      </c>
      <c r="F1083" s="1" t="s">
        <v>2055</v>
      </c>
      <c r="G1083" s="2">
        <v>60</v>
      </c>
      <c r="H1083" s="2">
        <v>9</v>
      </c>
      <c r="I1083" s="2">
        <f>4+3+2</f>
        <v>9</v>
      </c>
      <c r="J1083" s="1" t="s">
        <v>2032</v>
      </c>
    </row>
    <row r="1084" spans="1:10" ht="48">
      <c r="A1084" s="1">
        <v>2023</v>
      </c>
      <c r="B1084" s="1" t="s">
        <v>9</v>
      </c>
      <c r="C1084" s="1" t="s">
        <v>10</v>
      </c>
      <c r="D1084" s="1" t="s">
        <v>2056</v>
      </c>
      <c r="E1084" s="1" t="s">
        <v>2057</v>
      </c>
      <c r="F1084" s="1" t="s">
        <v>2058</v>
      </c>
      <c r="G1084" s="2">
        <v>0</v>
      </c>
      <c r="H1084" s="4">
        <v>1</v>
      </c>
      <c r="I1084" s="4">
        <v>1</v>
      </c>
      <c r="J1084" s="1" t="s">
        <v>2059</v>
      </c>
    </row>
    <row r="1085" spans="1:10" ht="36">
      <c r="A1085" s="1">
        <v>2023</v>
      </c>
      <c r="B1085" s="1" t="s">
        <v>9</v>
      </c>
      <c r="C1085" s="1" t="s">
        <v>10</v>
      </c>
      <c r="D1085" s="1" t="s">
        <v>2056</v>
      </c>
      <c r="E1085" s="1" t="s">
        <v>2060</v>
      </c>
      <c r="F1085" s="1" t="s">
        <v>2061</v>
      </c>
      <c r="G1085" s="2">
        <v>0</v>
      </c>
      <c r="H1085" s="4">
        <v>1</v>
      </c>
      <c r="I1085" s="4">
        <v>1</v>
      </c>
      <c r="J1085" s="1" t="s">
        <v>2059</v>
      </c>
    </row>
    <row r="1086" spans="1:10" ht="60">
      <c r="A1086" s="1">
        <v>2023</v>
      </c>
      <c r="B1086" s="1" t="s">
        <v>9</v>
      </c>
      <c r="C1086" s="1" t="s">
        <v>10</v>
      </c>
      <c r="D1086" s="1" t="s">
        <v>2056</v>
      </c>
      <c r="E1086" s="1" t="s">
        <v>2062</v>
      </c>
      <c r="F1086" s="1" t="s">
        <v>710</v>
      </c>
      <c r="G1086" s="2">
        <v>0</v>
      </c>
      <c r="H1086" s="4">
        <v>0</v>
      </c>
      <c r="I1086" s="4">
        <v>0</v>
      </c>
      <c r="J1086" s="1" t="s">
        <v>2059</v>
      </c>
    </row>
    <row r="1087" spans="1:10" ht="72">
      <c r="A1087" s="1">
        <v>2023</v>
      </c>
      <c r="B1087" s="1" t="s">
        <v>9</v>
      </c>
      <c r="C1087" s="1" t="s">
        <v>10</v>
      </c>
      <c r="D1087" s="1" t="s">
        <v>2056</v>
      </c>
      <c r="E1087" s="1" t="s">
        <v>2063</v>
      </c>
      <c r="F1087" s="1" t="s">
        <v>336</v>
      </c>
      <c r="G1087" s="2">
        <v>0</v>
      </c>
      <c r="H1087" s="3">
        <v>0.25</v>
      </c>
      <c r="I1087" s="3">
        <v>0.25</v>
      </c>
      <c r="J1087" s="1" t="s">
        <v>2059</v>
      </c>
    </row>
    <row r="1088" spans="1:10" ht="72">
      <c r="A1088" s="1">
        <v>2023</v>
      </c>
      <c r="B1088" s="1" t="s">
        <v>9</v>
      </c>
      <c r="C1088" s="1" t="s">
        <v>10</v>
      </c>
      <c r="D1088" s="1" t="s">
        <v>2056</v>
      </c>
      <c r="E1088" s="1" t="s">
        <v>2064</v>
      </c>
      <c r="F1088" s="1" t="s">
        <v>2065</v>
      </c>
      <c r="G1088" s="2">
        <v>0</v>
      </c>
      <c r="H1088" s="3">
        <v>0.5</v>
      </c>
      <c r="I1088" s="3">
        <v>1</v>
      </c>
      <c r="J1088" s="1" t="s">
        <v>2059</v>
      </c>
    </row>
    <row r="1089" spans="1:10" ht="48">
      <c r="A1089" s="1">
        <v>2023</v>
      </c>
      <c r="B1089" s="1" t="s">
        <v>9</v>
      </c>
      <c r="C1089" s="1" t="s">
        <v>10</v>
      </c>
      <c r="D1089" s="1" t="s">
        <v>2056</v>
      </c>
      <c r="E1089" s="1" t="s">
        <v>2066</v>
      </c>
      <c r="F1089" s="1" t="s">
        <v>2067</v>
      </c>
      <c r="G1089" s="2">
        <v>0</v>
      </c>
      <c r="H1089" s="3">
        <v>0.25</v>
      </c>
      <c r="I1089" s="3">
        <v>0.25</v>
      </c>
      <c r="J1089" s="1" t="s">
        <v>2059</v>
      </c>
    </row>
    <row r="1090" spans="1:10" ht="36">
      <c r="A1090" s="1">
        <v>2023</v>
      </c>
      <c r="B1090" s="1" t="s">
        <v>9</v>
      </c>
      <c r="C1090" s="1" t="s">
        <v>10</v>
      </c>
      <c r="D1090" s="1" t="s">
        <v>2056</v>
      </c>
      <c r="E1090" s="1" t="s">
        <v>329</v>
      </c>
      <c r="F1090" s="1" t="s">
        <v>661</v>
      </c>
      <c r="G1090" s="2">
        <v>11</v>
      </c>
      <c r="H1090" s="11">
        <v>0</v>
      </c>
      <c r="I1090" s="11">
        <v>0</v>
      </c>
      <c r="J1090" s="1" t="s">
        <v>2059</v>
      </c>
    </row>
    <row r="1091" spans="1:10" ht="36">
      <c r="A1091" s="1">
        <v>2023</v>
      </c>
      <c r="B1091" s="1" t="s">
        <v>9</v>
      </c>
      <c r="C1091" s="1" t="s">
        <v>10</v>
      </c>
      <c r="D1091" s="1" t="s">
        <v>2056</v>
      </c>
      <c r="E1091" s="1" t="s">
        <v>2068</v>
      </c>
      <c r="F1091" s="1" t="s">
        <v>2069</v>
      </c>
      <c r="G1091" s="2">
        <v>11</v>
      </c>
      <c r="H1091" s="11">
        <v>0</v>
      </c>
      <c r="I1091" s="11">
        <v>0</v>
      </c>
      <c r="J1091" s="1" t="s">
        <v>2059</v>
      </c>
    </row>
    <row r="1092" spans="1:10" ht="36">
      <c r="A1092" s="1">
        <v>2023</v>
      </c>
      <c r="B1092" s="1" t="s">
        <v>9</v>
      </c>
      <c r="C1092" s="1" t="s">
        <v>10</v>
      </c>
      <c r="D1092" s="1" t="s">
        <v>2056</v>
      </c>
      <c r="E1092" s="1" t="s">
        <v>2070</v>
      </c>
      <c r="F1092" s="1" t="s">
        <v>2071</v>
      </c>
      <c r="G1092" s="2">
        <v>11</v>
      </c>
      <c r="H1092" s="11">
        <v>1</v>
      </c>
      <c r="I1092" s="11">
        <v>1</v>
      </c>
      <c r="J1092" s="1" t="s">
        <v>2059</v>
      </c>
    </row>
    <row r="1093" spans="1:10" ht="36">
      <c r="A1093" s="1">
        <v>2023</v>
      </c>
      <c r="B1093" s="1" t="s">
        <v>9</v>
      </c>
      <c r="C1093" s="1" t="s">
        <v>10</v>
      </c>
      <c r="D1093" s="1" t="s">
        <v>2056</v>
      </c>
      <c r="E1093" s="1" t="s">
        <v>2070</v>
      </c>
      <c r="F1093" s="1" t="s">
        <v>2071</v>
      </c>
      <c r="G1093" s="2">
        <v>11</v>
      </c>
      <c r="H1093" s="11">
        <v>1</v>
      </c>
      <c r="I1093" s="11">
        <v>1</v>
      </c>
      <c r="J1093" s="1" t="s">
        <v>2059</v>
      </c>
    </row>
    <row r="1094" spans="1:10" ht="48">
      <c r="A1094" s="1">
        <v>2023</v>
      </c>
      <c r="B1094" s="1" t="s">
        <v>9</v>
      </c>
      <c r="C1094" s="1" t="s">
        <v>10</v>
      </c>
      <c r="D1094" s="1" t="s">
        <v>2056</v>
      </c>
      <c r="E1094" s="1" t="s">
        <v>2072</v>
      </c>
      <c r="F1094" s="1" t="s">
        <v>2073</v>
      </c>
      <c r="G1094" s="2">
        <v>11</v>
      </c>
      <c r="H1094" s="11">
        <v>1</v>
      </c>
      <c r="I1094" s="11">
        <v>1</v>
      </c>
      <c r="J1094" s="1" t="s">
        <v>2059</v>
      </c>
    </row>
    <row r="1095" spans="1:10" ht="36">
      <c r="A1095" s="1">
        <v>2023</v>
      </c>
      <c r="B1095" s="1" t="s">
        <v>9</v>
      </c>
      <c r="C1095" s="1" t="s">
        <v>10</v>
      </c>
      <c r="D1095" s="1" t="s">
        <v>2056</v>
      </c>
      <c r="E1095" s="1" t="s">
        <v>2074</v>
      </c>
      <c r="F1095" s="1" t="s">
        <v>2075</v>
      </c>
      <c r="G1095" s="2">
        <v>1</v>
      </c>
      <c r="H1095" s="11">
        <v>2</v>
      </c>
      <c r="I1095" s="11">
        <v>2</v>
      </c>
      <c r="J1095" s="1" t="s">
        <v>2059</v>
      </c>
    </row>
    <row r="1096" spans="1:10" ht="48">
      <c r="A1096" s="1">
        <v>2023</v>
      </c>
      <c r="B1096" s="1" t="s">
        <v>9</v>
      </c>
      <c r="C1096" s="1" t="s">
        <v>10</v>
      </c>
      <c r="D1096" s="1" t="s">
        <v>2056</v>
      </c>
      <c r="E1096" s="1" t="s">
        <v>2076</v>
      </c>
      <c r="F1096" s="1" t="s">
        <v>2077</v>
      </c>
      <c r="G1096" s="2">
        <v>1</v>
      </c>
      <c r="H1096" s="11">
        <v>0</v>
      </c>
      <c r="I1096" s="11">
        <v>0</v>
      </c>
      <c r="J1096" s="1" t="s">
        <v>2059</v>
      </c>
    </row>
    <row r="1097" spans="1:10" ht="48">
      <c r="A1097" s="1">
        <v>2023</v>
      </c>
      <c r="B1097" s="1" t="s">
        <v>9</v>
      </c>
      <c r="C1097" s="1" t="s">
        <v>10</v>
      </c>
      <c r="D1097" s="1" t="s">
        <v>2056</v>
      </c>
      <c r="E1097" s="1" t="s">
        <v>2072</v>
      </c>
      <c r="F1097" s="1" t="s">
        <v>2073</v>
      </c>
      <c r="G1097" s="2">
        <v>1</v>
      </c>
      <c r="H1097" s="11">
        <v>1</v>
      </c>
      <c r="I1097" s="11">
        <v>1</v>
      </c>
      <c r="J1097" s="1" t="s">
        <v>2059</v>
      </c>
    </row>
    <row r="1098" spans="1:10" ht="48">
      <c r="A1098" s="1">
        <v>2023</v>
      </c>
      <c r="B1098" s="1" t="s">
        <v>9</v>
      </c>
      <c r="C1098" s="1" t="s">
        <v>10</v>
      </c>
      <c r="D1098" s="1" t="s">
        <v>2078</v>
      </c>
      <c r="E1098" s="1" t="s">
        <v>2079</v>
      </c>
      <c r="F1098" s="1" t="s">
        <v>2080</v>
      </c>
      <c r="G1098" s="2">
        <v>0</v>
      </c>
      <c r="H1098" s="4">
        <v>0.97</v>
      </c>
      <c r="I1098" s="4">
        <v>0.98499999999999999</v>
      </c>
      <c r="J1098" s="1" t="s">
        <v>2081</v>
      </c>
    </row>
    <row r="1099" spans="1:10" ht="72">
      <c r="A1099" s="1">
        <v>2023</v>
      </c>
      <c r="B1099" s="1" t="s">
        <v>9</v>
      </c>
      <c r="C1099" s="1" t="s">
        <v>10</v>
      </c>
      <c r="D1099" s="1" t="s">
        <v>2078</v>
      </c>
      <c r="E1099" s="1" t="s">
        <v>2082</v>
      </c>
      <c r="F1099" s="1" t="s">
        <v>2083</v>
      </c>
      <c r="G1099" s="2">
        <v>0</v>
      </c>
      <c r="H1099" s="4">
        <v>0.45</v>
      </c>
      <c r="I1099" s="4">
        <v>0.52</v>
      </c>
      <c r="J1099" s="1" t="s">
        <v>2081</v>
      </c>
    </row>
    <row r="1100" spans="1:10" ht="72">
      <c r="A1100" s="1">
        <v>2023</v>
      </c>
      <c r="B1100" s="1" t="s">
        <v>9</v>
      </c>
      <c r="C1100" s="1" t="s">
        <v>10</v>
      </c>
      <c r="D1100" s="1" t="s">
        <v>2078</v>
      </c>
      <c r="E1100" s="1" t="s">
        <v>2084</v>
      </c>
      <c r="F1100" s="1" t="s">
        <v>2085</v>
      </c>
      <c r="G1100" s="3">
        <v>1</v>
      </c>
      <c r="H1100" s="4">
        <v>0.24990000000000001</v>
      </c>
      <c r="I1100" s="4">
        <v>0.24990000000000001</v>
      </c>
      <c r="J1100" s="1" t="s">
        <v>2081</v>
      </c>
    </row>
    <row r="1101" spans="1:10" ht="84">
      <c r="A1101" s="1">
        <v>2023</v>
      </c>
      <c r="B1101" s="1" t="s">
        <v>9</v>
      </c>
      <c r="C1101" s="1" t="s">
        <v>10</v>
      </c>
      <c r="D1101" s="1" t="s">
        <v>2078</v>
      </c>
      <c r="E1101" s="1" t="s">
        <v>2086</v>
      </c>
      <c r="F1101" s="1" t="s">
        <v>2087</v>
      </c>
      <c r="G1101" s="3">
        <v>1</v>
      </c>
      <c r="H1101" s="4">
        <v>0.24990000000000001</v>
      </c>
      <c r="I1101" s="4">
        <v>0.24990000000000001</v>
      </c>
      <c r="J1101" s="1" t="s">
        <v>2081</v>
      </c>
    </row>
    <row r="1102" spans="1:10" ht="60">
      <c r="A1102" s="1">
        <v>2023</v>
      </c>
      <c r="B1102" s="1" t="s">
        <v>9</v>
      </c>
      <c r="C1102" s="1" t="s">
        <v>10</v>
      </c>
      <c r="D1102" s="1" t="s">
        <v>2078</v>
      </c>
      <c r="E1102" s="1" t="s">
        <v>2088</v>
      </c>
      <c r="F1102" s="1" t="s">
        <v>2089</v>
      </c>
      <c r="G1102" s="3">
        <v>1</v>
      </c>
      <c r="H1102" s="4">
        <v>0.24990000000000001</v>
      </c>
      <c r="I1102" s="4">
        <v>0.24990000000000001</v>
      </c>
      <c r="J1102" s="1" t="s">
        <v>2081</v>
      </c>
    </row>
    <row r="1103" spans="1:10" ht="60">
      <c r="A1103" s="1">
        <v>2023</v>
      </c>
      <c r="B1103" s="1" t="s">
        <v>9</v>
      </c>
      <c r="C1103" s="1" t="s">
        <v>10</v>
      </c>
      <c r="D1103" s="1" t="s">
        <v>2078</v>
      </c>
      <c r="E1103" s="1" t="s">
        <v>2090</v>
      </c>
      <c r="F1103" s="1" t="s">
        <v>2091</v>
      </c>
      <c r="G1103" s="3">
        <v>1</v>
      </c>
      <c r="H1103" s="3">
        <v>0.25</v>
      </c>
      <c r="I1103" s="3">
        <v>0.25</v>
      </c>
      <c r="J1103" s="1" t="s">
        <v>2081</v>
      </c>
    </row>
    <row r="1104" spans="1:10" ht="48">
      <c r="A1104" s="1">
        <v>2023</v>
      </c>
      <c r="B1104" s="1" t="s">
        <v>9</v>
      </c>
      <c r="C1104" s="1" t="s">
        <v>10</v>
      </c>
      <c r="D1104" s="1" t="s">
        <v>2078</v>
      </c>
      <c r="E1104" s="1" t="s">
        <v>2092</v>
      </c>
      <c r="F1104" s="1" t="s">
        <v>2093</v>
      </c>
      <c r="G1104" s="3">
        <v>0</v>
      </c>
      <c r="H1104" s="4">
        <v>0.2979</v>
      </c>
      <c r="I1104" s="4">
        <v>0.2979</v>
      </c>
      <c r="J1104" s="1" t="s">
        <v>2081</v>
      </c>
    </row>
    <row r="1105" spans="1:10" ht="48">
      <c r="A1105" s="1">
        <v>2023</v>
      </c>
      <c r="B1105" s="1" t="s">
        <v>9</v>
      </c>
      <c r="C1105" s="1" t="s">
        <v>10</v>
      </c>
      <c r="D1105" s="1" t="s">
        <v>2078</v>
      </c>
      <c r="E1105" s="1" t="s">
        <v>2094</v>
      </c>
      <c r="F1105" s="1" t="s">
        <v>2095</v>
      </c>
      <c r="G1105" s="11">
        <v>2</v>
      </c>
      <c r="H1105" s="11">
        <v>0</v>
      </c>
      <c r="I1105" s="11">
        <v>0</v>
      </c>
      <c r="J1105" s="1" t="s">
        <v>2081</v>
      </c>
    </row>
    <row r="1106" spans="1:10" ht="48">
      <c r="A1106" s="1">
        <v>2023</v>
      </c>
      <c r="B1106" s="1" t="s">
        <v>9</v>
      </c>
      <c r="C1106" s="1" t="s">
        <v>10</v>
      </c>
      <c r="D1106" s="1" t="s">
        <v>2078</v>
      </c>
      <c r="E1106" s="1" t="s">
        <v>2096</v>
      </c>
      <c r="F1106" s="1" t="s">
        <v>2097</v>
      </c>
      <c r="G1106" s="11">
        <v>84</v>
      </c>
      <c r="H1106" s="11">
        <f>12+5+5</f>
        <v>22</v>
      </c>
      <c r="I1106" s="11">
        <f>14+8+5</f>
        <v>27</v>
      </c>
      <c r="J1106" s="1" t="s">
        <v>2081</v>
      </c>
    </row>
    <row r="1107" spans="1:10" ht="60">
      <c r="A1107" s="1">
        <v>2023</v>
      </c>
      <c r="B1107" s="1" t="s">
        <v>9</v>
      </c>
      <c r="C1107" s="1" t="s">
        <v>10</v>
      </c>
      <c r="D1107" s="1" t="s">
        <v>2078</v>
      </c>
      <c r="E1107" s="1" t="s">
        <v>2098</v>
      </c>
      <c r="F1107" s="1" t="s">
        <v>2099</v>
      </c>
      <c r="G1107" s="11">
        <v>150</v>
      </c>
      <c r="H1107" s="11">
        <v>58</v>
      </c>
      <c r="I1107" s="11">
        <f t="shared" ref="I1107:I1108" si="342">24+14+6</f>
        <v>44</v>
      </c>
      <c r="J1107" s="1" t="s">
        <v>2081</v>
      </c>
    </row>
    <row r="1108" spans="1:10" ht="60">
      <c r="A1108" s="1">
        <v>2023</v>
      </c>
      <c r="B1108" s="1" t="s">
        <v>9</v>
      </c>
      <c r="C1108" s="1" t="s">
        <v>10</v>
      </c>
      <c r="D1108" s="1" t="s">
        <v>2078</v>
      </c>
      <c r="E1108" s="1" t="s">
        <v>2100</v>
      </c>
      <c r="F1108" s="1" t="s">
        <v>2101</v>
      </c>
      <c r="G1108" s="11">
        <v>150</v>
      </c>
      <c r="H1108" s="11">
        <v>58</v>
      </c>
      <c r="I1108" s="11">
        <f t="shared" si="342"/>
        <v>44</v>
      </c>
      <c r="J1108" s="1" t="s">
        <v>2081</v>
      </c>
    </row>
    <row r="1109" spans="1:10" ht="48">
      <c r="A1109" s="1">
        <v>2023</v>
      </c>
      <c r="B1109" s="1" t="s">
        <v>9</v>
      </c>
      <c r="C1109" s="1" t="s">
        <v>10</v>
      </c>
      <c r="D1109" s="1" t="s">
        <v>2078</v>
      </c>
      <c r="E1109" s="1" t="s">
        <v>2102</v>
      </c>
      <c r="F1109" s="1" t="s">
        <v>2103</v>
      </c>
      <c r="G1109" s="11">
        <v>4</v>
      </c>
      <c r="H1109" s="11">
        <v>2</v>
      </c>
      <c r="I1109" s="11">
        <v>2</v>
      </c>
      <c r="J1109" s="1" t="s">
        <v>2081</v>
      </c>
    </row>
    <row r="1110" spans="1:10" ht="48">
      <c r="A1110" s="1">
        <v>2023</v>
      </c>
      <c r="B1110" s="1" t="s">
        <v>9</v>
      </c>
      <c r="C1110" s="1" t="s">
        <v>10</v>
      </c>
      <c r="D1110" s="1" t="s">
        <v>2078</v>
      </c>
      <c r="E1110" s="1" t="s">
        <v>2104</v>
      </c>
      <c r="F1110" s="1" t="s">
        <v>2105</v>
      </c>
      <c r="G1110" s="11">
        <v>9</v>
      </c>
      <c r="H1110" s="11">
        <f t="shared" ref="H1110:I1110" si="343">4+4+4</f>
        <v>12</v>
      </c>
      <c r="I1110" s="11">
        <f t="shared" si="343"/>
        <v>12</v>
      </c>
      <c r="J1110" s="1" t="s">
        <v>2081</v>
      </c>
    </row>
    <row r="1111" spans="1:10" ht="60">
      <c r="A1111" s="1">
        <v>2023</v>
      </c>
      <c r="B1111" s="1" t="s">
        <v>9</v>
      </c>
      <c r="C1111" s="1" t="s">
        <v>10</v>
      </c>
      <c r="D1111" s="1" t="s">
        <v>2078</v>
      </c>
      <c r="E1111" s="1" t="s">
        <v>2106</v>
      </c>
      <c r="F1111" s="1" t="s">
        <v>2107</v>
      </c>
      <c r="G1111" s="11">
        <v>8</v>
      </c>
      <c r="H1111" s="11">
        <v>2</v>
      </c>
      <c r="I1111" s="11">
        <v>2</v>
      </c>
      <c r="J1111" s="1" t="s">
        <v>2081</v>
      </c>
    </row>
    <row r="1112" spans="1:10" ht="48">
      <c r="A1112" s="1">
        <v>2023</v>
      </c>
      <c r="B1112" s="1" t="s">
        <v>9</v>
      </c>
      <c r="C1112" s="1" t="s">
        <v>10</v>
      </c>
      <c r="D1112" s="1" t="s">
        <v>2078</v>
      </c>
      <c r="E1112" s="1" t="s">
        <v>2108</v>
      </c>
      <c r="F1112" s="1" t="s">
        <v>2109</v>
      </c>
      <c r="G1112" s="11">
        <v>8</v>
      </c>
      <c r="H1112" s="11">
        <v>2</v>
      </c>
      <c r="I1112" s="11">
        <v>2</v>
      </c>
      <c r="J1112" s="1" t="s">
        <v>2081</v>
      </c>
    </row>
    <row r="1113" spans="1:10" ht="48">
      <c r="A1113" s="1">
        <v>2023</v>
      </c>
      <c r="B1113" s="1" t="s">
        <v>9</v>
      </c>
      <c r="C1113" s="1" t="s">
        <v>10</v>
      </c>
      <c r="D1113" s="1" t="s">
        <v>2078</v>
      </c>
      <c r="E1113" s="1" t="s">
        <v>2110</v>
      </c>
      <c r="F1113" s="1" t="s">
        <v>2111</v>
      </c>
      <c r="G1113" s="11">
        <v>60</v>
      </c>
      <c r="H1113" s="11">
        <v>48</v>
      </c>
      <c r="I1113" s="11">
        <f t="shared" ref="I1113:I1114" si="344">20+16+5</f>
        <v>41</v>
      </c>
      <c r="J1113" s="1" t="s">
        <v>2081</v>
      </c>
    </row>
    <row r="1114" spans="1:10" ht="48">
      <c r="A1114" s="1">
        <v>2023</v>
      </c>
      <c r="B1114" s="1" t="s">
        <v>9</v>
      </c>
      <c r="C1114" s="1" t="s">
        <v>10</v>
      </c>
      <c r="D1114" s="1" t="s">
        <v>2078</v>
      </c>
      <c r="E1114" s="1" t="s">
        <v>2112</v>
      </c>
      <c r="F1114" s="1" t="s">
        <v>2113</v>
      </c>
      <c r="G1114" s="11">
        <v>50</v>
      </c>
      <c r="H1114" s="11">
        <v>48</v>
      </c>
      <c r="I1114" s="11">
        <f t="shared" si="344"/>
        <v>41</v>
      </c>
      <c r="J1114" s="1" t="s">
        <v>2081</v>
      </c>
    </row>
    <row r="1115" spans="1:10" ht="60">
      <c r="A1115" s="1">
        <v>2023</v>
      </c>
      <c r="B1115" s="1" t="s">
        <v>9</v>
      </c>
      <c r="C1115" s="1" t="s">
        <v>1546</v>
      </c>
      <c r="D1115" s="1" t="s">
        <v>2114</v>
      </c>
      <c r="E1115" s="1" t="s">
        <v>2115</v>
      </c>
      <c r="F1115" s="1" t="s">
        <v>2116</v>
      </c>
      <c r="G1115" s="2">
        <v>0</v>
      </c>
      <c r="H1115" s="3">
        <f t="shared" ref="H1115:H1116" si="345">0+0+100%</f>
        <v>1</v>
      </c>
      <c r="I1115" s="12">
        <f t="shared" ref="I1115:I1116" si="346">100%</f>
        <v>1</v>
      </c>
      <c r="J1115" s="1" t="s">
        <v>2117</v>
      </c>
    </row>
    <row r="1116" spans="1:10" ht="60">
      <c r="A1116" s="1">
        <v>2023</v>
      </c>
      <c r="B1116" s="1" t="s">
        <v>9</v>
      </c>
      <c r="C1116" s="1" t="s">
        <v>1530</v>
      </c>
      <c r="D1116" s="1" t="s">
        <v>2114</v>
      </c>
      <c r="E1116" s="1" t="s">
        <v>2118</v>
      </c>
      <c r="F1116" s="1" t="s">
        <v>2119</v>
      </c>
      <c r="G1116" s="2">
        <v>0</v>
      </c>
      <c r="H1116" s="3">
        <f t="shared" si="345"/>
        <v>1</v>
      </c>
      <c r="I1116" s="12">
        <f t="shared" si="346"/>
        <v>1</v>
      </c>
      <c r="J1116" s="1" t="s">
        <v>2117</v>
      </c>
    </row>
    <row r="1117" spans="1:10" ht="60">
      <c r="A1117" s="1">
        <v>2023</v>
      </c>
      <c r="B1117" s="1" t="s">
        <v>9</v>
      </c>
      <c r="C1117" s="1" t="s">
        <v>1530</v>
      </c>
      <c r="D1117" s="1" t="s">
        <v>2114</v>
      </c>
      <c r="E1117" s="1" t="s">
        <v>2120</v>
      </c>
      <c r="F1117" s="1" t="s">
        <v>2121</v>
      </c>
      <c r="G1117" s="2">
        <v>311</v>
      </c>
      <c r="H1117" s="4">
        <f>12%+15%+28%</f>
        <v>0.55000000000000004</v>
      </c>
      <c r="I1117" s="4">
        <f>12.3%+9.84%+9.02%</f>
        <v>0.31159999999999999</v>
      </c>
      <c r="J1117" s="1" t="s">
        <v>2117</v>
      </c>
    </row>
    <row r="1118" spans="1:10" ht="60">
      <c r="A1118" s="1">
        <v>2023</v>
      </c>
      <c r="B1118" s="1" t="s">
        <v>9</v>
      </c>
      <c r="C1118" s="1" t="s">
        <v>1530</v>
      </c>
      <c r="D1118" s="1" t="s">
        <v>2114</v>
      </c>
      <c r="E1118" s="1" t="s">
        <v>2122</v>
      </c>
      <c r="F1118" s="1" t="s">
        <v>2123</v>
      </c>
      <c r="G1118" s="2">
        <v>6435</v>
      </c>
      <c r="H1118" s="4">
        <f>8.33%+8.33%+8.33%</f>
        <v>0.24990000000000001</v>
      </c>
      <c r="I1118" s="4">
        <f>10.32%+9.37%+6.83%</f>
        <v>0.26519999999999999</v>
      </c>
      <c r="J1118" s="1" t="s">
        <v>2117</v>
      </c>
    </row>
    <row r="1119" spans="1:10" ht="60">
      <c r="A1119" s="1">
        <v>2023</v>
      </c>
      <c r="B1119" s="1" t="s">
        <v>9</v>
      </c>
      <c r="C1119" s="1" t="s">
        <v>1530</v>
      </c>
      <c r="D1119" s="1" t="s">
        <v>2114</v>
      </c>
      <c r="E1119" s="1" t="s">
        <v>2124</v>
      </c>
      <c r="F1119" s="1" t="s">
        <v>2125</v>
      </c>
      <c r="G1119" s="2">
        <v>137</v>
      </c>
      <c r="H1119" s="4">
        <f>120%+105%+100%</f>
        <v>3.25</v>
      </c>
      <c r="I1119" s="4">
        <f>37.5%+31.25%+46.88%</f>
        <v>1.1563000000000001</v>
      </c>
      <c r="J1119" s="1" t="s">
        <v>2117</v>
      </c>
    </row>
    <row r="1120" spans="1:10" ht="60">
      <c r="A1120" s="1">
        <v>2023</v>
      </c>
      <c r="B1120" s="1" t="s">
        <v>9</v>
      </c>
      <c r="C1120" s="1" t="s">
        <v>1530</v>
      </c>
      <c r="D1120" s="1" t="s">
        <v>2114</v>
      </c>
      <c r="E1120" s="1" t="s">
        <v>2126</v>
      </c>
      <c r="F1120" s="1" t="s">
        <v>2127</v>
      </c>
      <c r="G1120" s="11">
        <v>78</v>
      </c>
      <c r="H1120" s="11">
        <f>15+12+15</f>
        <v>42</v>
      </c>
      <c r="I1120" s="11">
        <f>15+12+11</f>
        <v>38</v>
      </c>
      <c r="J1120" s="1" t="s">
        <v>2117</v>
      </c>
    </row>
    <row r="1121" spans="1:10" ht="60">
      <c r="A1121" s="1">
        <v>2023</v>
      </c>
      <c r="B1121" s="1" t="s">
        <v>9</v>
      </c>
      <c r="C1121" s="1" t="s">
        <v>1530</v>
      </c>
      <c r="D1121" s="1" t="s">
        <v>2114</v>
      </c>
      <c r="E1121" s="1" t="s">
        <v>2128</v>
      </c>
      <c r="F1121" s="1" t="s">
        <v>2129</v>
      </c>
      <c r="G1121" s="11">
        <v>1609</v>
      </c>
      <c r="H1121" s="11">
        <f>150+150+150</f>
        <v>450</v>
      </c>
      <c r="I1121" s="11">
        <f>650+590+430</f>
        <v>1670</v>
      </c>
      <c r="J1121" s="1" t="s">
        <v>2117</v>
      </c>
    </row>
    <row r="1122" spans="1:10" ht="60">
      <c r="A1122" s="1">
        <v>2023</v>
      </c>
      <c r="B1122" s="1" t="s">
        <v>9</v>
      </c>
      <c r="C1122" s="1" t="s">
        <v>1530</v>
      </c>
      <c r="D1122" s="1" t="s">
        <v>2114</v>
      </c>
      <c r="E1122" s="1" t="s">
        <v>2130</v>
      </c>
      <c r="F1122" s="1" t="s">
        <v>2131</v>
      </c>
      <c r="G1122" s="11">
        <v>34</v>
      </c>
      <c r="H1122" s="11">
        <f>7+1+1</f>
        <v>9</v>
      </c>
      <c r="I1122" s="11">
        <f>12+10+15</f>
        <v>37</v>
      </c>
      <c r="J1122" s="1" t="s">
        <v>2117</v>
      </c>
    </row>
    <row r="1123" spans="1:10" ht="60">
      <c r="A1123" s="1">
        <v>2023</v>
      </c>
      <c r="B1123" s="1" t="s">
        <v>9</v>
      </c>
      <c r="C1123" s="1" t="s">
        <v>1530</v>
      </c>
      <c r="D1123" s="1" t="s">
        <v>2132</v>
      </c>
      <c r="E1123" s="1" t="s">
        <v>2133</v>
      </c>
      <c r="F1123" s="1" t="s">
        <v>2134</v>
      </c>
      <c r="G1123" s="2">
        <v>0</v>
      </c>
      <c r="H1123" s="3">
        <f t="shared" ref="H1123:H1124" si="347">0+0+100%</f>
        <v>1</v>
      </c>
      <c r="I1123" s="3">
        <f t="shared" ref="I1123:I1124" si="348">100%</f>
        <v>1</v>
      </c>
      <c r="J1123" s="1" t="s">
        <v>2117</v>
      </c>
    </row>
    <row r="1124" spans="1:10" ht="60">
      <c r="A1124" s="1">
        <v>2023</v>
      </c>
      <c r="B1124" s="1" t="s">
        <v>9</v>
      </c>
      <c r="C1124" s="1" t="s">
        <v>1530</v>
      </c>
      <c r="D1124" s="1" t="s">
        <v>2132</v>
      </c>
      <c r="E1124" s="1" t="s">
        <v>2135</v>
      </c>
      <c r="F1124" s="1" t="s">
        <v>2136</v>
      </c>
      <c r="G1124" s="2">
        <v>0</v>
      </c>
      <c r="H1124" s="3">
        <f t="shared" si="347"/>
        <v>1</v>
      </c>
      <c r="I1124" s="3">
        <f t="shared" si="348"/>
        <v>1</v>
      </c>
      <c r="J1124" s="1" t="s">
        <v>2117</v>
      </c>
    </row>
    <row r="1125" spans="1:10" ht="60">
      <c r="A1125" s="1">
        <v>2023</v>
      </c>
      <c r="B1125" s="1" t="s">
        <v>9</v>
      </c>
      <c r="C1125" s="1" t="s">
        <v>1530</v>
      </c>
      <c r="D1125" s="1" t="s">
        <v>2132</v>
      </c>
      <c r="E1125" s="1" t="s">
        <v>2137</v>
      </c>
      <c r="F1125" s="1" t="s">
        <v>2138</v>
      </c>
      <c r="G1125" s="2">
        <v>882</v>
      </c>
      <c r="H1125" s="3">
        <f>35%+30%+35%</f>
        <v>0.99999999999999989</v>
      </c>
      <c r="I1125" s="4">
        <f>16.13%+17.2%+8.6%</f>
        <v>0.41930000000000001</v>
      </c>
      <c r="J1125" s="1" t="s">
        <v>2117</v>
      </c>
    </row>
    <row r="1126" spans="1:10" ht="60">
      <c r="A1126" s="1">
        <v>2023</v>
      </c>
      <c r="B1126" s="1" t="s">
        <v>9</v>
      </c>
      <c r="C1126" s="1" t="s">
        <v>1530</v>
      </c>
      <c r="D1126" s="1" t="s">
        <v>2132</v>
      </c>
      <c r="E1126" s="1" t="s">
        <v>2139</v>
      </c>
      <c r="F1126" s="1" t="s">
        <v>2140</v>
      </c>
      <c r="G1126" s="2">
        <v>29</v>
      </c>
      <c r="H1126" s="3">
        <f t="shared" ref="H1126:H1127" si="349">40%+40%+40%</f>
        <v>1.2000000000000002</v>
      </c>
      <c r="I1126" s="4">
        <f>11.11%+11.11%+11.11%</f>
        <v>0.33329999999999999</v>
      </c>
      <c r="J1126" s="1" t="s">
        <v>2117</v>
      </c>
    </row>
    <row r="1127" spans="1:10" ht="60">
      <c r="A1127" s="1">
        <v>2023</v>
      </c>
      <c r="B1127" s="1" t="s">
        <v>9</v>
      </c>
      <c r="C1127" s="1" t="s">
        <v>1530</v>
      </c>
      <c r="D1127" s="1" t="s">
        <v>2132</v>
      </c>
      <c r="E1127" s="1" t="s">
        <v>2141</v>
      </c>
      <c r="F1127" s="1" t="s">
        <v>2142</v>
      </c>
      <c r="G1127" s="2">
        <v>88</v>
      </c>
      <c r="H1127" s="3">
        <f t="shared" si="349"/>
        <v>1.2000000000000002</v>
      </c>
      <c r="I1127" s="4">
        <f>16.67%+11.11%+5.56%</f>
        <v>0.33339999999999997</v>
      </c>
      <c r="J1127" s="1" t="s">
        <v>2117</v>
      </c>
    </row>
    <row r="1128" spans="1:10" ht="60">
      <c r="A1128" s="1">
        <v>2023</v>
      </c>
      <c r="B1128" s="1" t="s">
        <v>9</v>
      </c>
      <c r="C1128" s="1" t="s">
        <v>1530</v>
      </c>
      <c r="D1128" s="1" t="s">
        <v>2132</v>
      </c>
      <c r="E1128" s="1" t="s">
        <v>2143</v>
      </c>
      <c r="F1128" s="1" t="s">
        <v>2144</v>
      </c>
      <c r="G1128" s="2">
        <v>306</v>
      </c>
      <c r="H1128" s="4">
        <f>42%+42%+41%</f>
        <v>1.25</v>
      </c>
      <c r="I1128" s="4">
        <f>16.67%+15.83%+12.5%</f>
        <v>0.45</v>
      </c>
      <c r="J1128" s="1" t="s">
        <v>2117</v>
      </c>
    </row>
    <row r="1129" spans="1:10" ht="60">
      <c r="A1129" s="1">
        <v>2023</v>
      </c>
      <c r="B1129" s="1" t="s">
        <v>9</v>
      </c>
      <c r="C1129" s="1" t="s">
        <v>1530</v>
      </c>
      <c r="D1129" s="1" t="s">
        <v>2132</v>
      </c>
      <c r="E1129" s="1" t="s">
        <v>2145</v>
      </c>
      <c r="F1129" s="1" t="s">
        <v>2146</v>
      </c>
      <c r="G1129" s="11">
        <v>221</v>
      </c>
      <c r="H1129" s="11">
        <f>30+25+0</f>
        <v>55</v>
      </c>
      <c r="I1129" s="11">
        <f>150+160+80</f>
        <v>390</v>
      </c>
      <c r="J1129" s="1" t="s">
        <v>2117</v>
      </c>
    </row>
    <row r="1130" spans="1:10" ht="60">
      <c r="A1130" s="1">
        <v>2023</v>
      </c>
      <c r="B1130" s="1" t="s">
        <v>9</v>
      </c>
      <c r="C1130" s="1" t="s">
        <v>1530</v>
      </c>
      <c r="D1130" s="1" t="s">
        <v>2132</v>
      </c>
      <c r="E1130" s="1" t="s">
        <v>2147</v>
      </c>
      <c r="F1130" s="1" t="s">
        <v>2148</v>
      </c>
      <c r="G1130" s="11">
        <v>7</v>
      </c>
      <c r="H1130" s="11">
        <f>2+2+0</f>
        <v>4</v>
      </c>
      <c r="I1130" s="11">
        <f>1+1+1</f>
        <v>3</v>
      </c>
      <c r="J1130" s="1" t="s">
        <v>2117</v>
      </c>
    </row>
    <row r="1131" spans="1:10" ht="60">
      <c r="A1131" s="1">
        <v>2023</v>
      </c>
      <c r="B1131" s="1" t="s">
        <v>9</v>
      </c>
      <c r="C1131" s="1" t="s">
        <v>1530</v>
      </c>
      <c r="D1131" s="1" t="s">
        <v>2132</v>
      </c>
      <c r="E1131" s="1" t="s">
        <v>2149</v>
      </c>
      <c r="F1131" s="1" t="s">
        <v>2150</v>
      </c>
      <c r="G1131" s="11">
        <v>22</v>
      </c>
      <c r="H1131" s="11">
        <f>3+3+0</f>
        <v>6</v>
      </c>
      <c r="I1131" s="11">
        <f>3+2+1</f>
        <v>6</v>
      </c>
      <c r="J1131" s="1" t="s">
        <v>2117</v>
      </c>
    </row>
    <row r="1132" spans="1:10" ht="60">
      <c r="A1132" s="1">
        <v>2023</v>
      </c>
      <c r="B1132" s="1" t="s">
        <v>9</v>
      </c>
      <c r="C1132" s="1" t="s">
        <v>1530</v>
      </c>
      <c r="D1132" s="1" t="s">
        <v>2132</v>
      </c>
      <c r="E1132" s="1" t="s">
        <v>2151</v>
      </c>
      <c r="F1132" s="1" t="s">
        <v>2152</v>
      </c>
      <c r="G1132" s="11">
        <v>77</v>
      </c>
      <c r="H1132" s="11">
        <f>6+6+7</f>
        <v>19</v>
      </c>
      <c r="I1132" s="11">
        <f>20+19+15</f>
        <v>54</v>
      </c>
      <c r="J1132" s="1" t="s">
        <v>2117</v>
      </c>
    </row>
    <row r="1133" spans="1:10" ht="72">
      <c r="A1133" s="1">
        <v>2023</v>
      </c>
      <c r="B1133" s="1" t="s">
        <v>9</v>
      </c>
      <c r="C1133" s="1" t="s">
        <v>2153</v>
      </c>
      <c r="D1133" s="1" t="s">
        <v>2154</v>
      </c>
      <c r="E1133" s="1" t="s">
        <v>2155</v>
      </c>
      <c r="F1133" s="1" t="s">
        <v>2156</v>
      </c>
      <c r="G1133" s="2">
        <v>0</v>
      </c>
      <c r="H1133" s="3">
        <f t="shared" ref="H1133:I1133" si="350">0+0+100%</f>
        <v>1</v>
      </c>
      <c r="I1133" s="3">
        <f t="shared" si="350"/>
        <v>1</v>
      </c>
      <c r="J1133" s="1" t="s">
        <v>2157</v>
      </c>
    </row>
    <row r="1134" spans="1:10" ht="60">
      <c r="A1134" s="1">
        <v>2023</v>
      </c>
      <c r="B1134" s="1" t="s">
        <v>9</v>
      </c>
      <c r="C1134" s="1" t="s">
        <v>2153</v>
      </c>
      <c r="D1134" s="1" t="s">
        <v>2154</v>
      </c>
      <c r="E1134" s="1" t="s">
        <v>2158</v>
      </c>
      <c r="F1134" s="1" t="s">
        <v>2159</v>
      </c>
      <c r="G1134" s="2">
        <v>0</v>
      </c>
      <c r="H1134" s="3">
        <f t="shared" ref="H1134:I1134" si="351">0+0+100%</f>
        <v>1</v>
      </c>
      <c r="I1134" s="3">
        <f t="shared" si="351"/>
        <v>1</v>
      </c>
      <c r="J1134" s="1" t="s">
        <v>2157</v>
      </c>
    </row>
    <row r="1135" spans="1:10" ht="48">
      <c r="A1135" s="1">
        <v>2023</v>
      </c>
      <c r="B1135" s="1" t="s">
        <v>9</v>
      </c>
      <c r="C1135" s="1" t="s">
        <v>2153</v>
      </c>
      <c r="D1135" s="1" t="s">
        <v>2154</v>
      </c>
      <c r="E1135" s="1" t="s">
        <v>2160</v>
      </c>
      <c r="F1135" s="1" t="s">
        <v>2161</v>
      </c>
      <c r="G1135" s="3">
        <v>0.9</v>
      </c>
      <c r="H1135" s="3">
        <f t="shared" ref="H1135:H1137" si="352">0+0+26%</f>
        <v>0.26</v>
      </c>
      <c r="I1135" s="3">
        <f t="shared" ref="I1135:I1136" si="353">0%+0%+26%</f>
        <v>0.26</v>
      </c>
      <c r="J1135" s="1" t="s">
        <v>2157</v>
      </c>
    </row>
    <row r="1136" spans="1:10" ht="48">
      <c r="A1136" s="1">
        <v>2023</v>
      </c>
      <c r="B1136" s="1" t="s">
        <v>9</v>
      </c>
      <c r="C1136" s="1" t="s">
        <v>2153</v>
      </c>
      <c r="D1136" s="1" t="s">
        <v>2154</v>
      </c>
      <c r="E1136" s="1" t="s">
        <v>2162</v>
      </c>
      <c r="F1136" s="1" t="s">
        <v>2163</v>
      </c>
      <c r="G1136" s="3">
        <v>0.95</v>
      </c>
      <c r="H1136" s="3">
        <f t="shared" si="352"/>
        <v>0.26</v>
      </c>
      <c r="I1136" s="3">
        <f t="shared" si="353"/>
        <v>0.26</v>
      </c>
      <c r="J1136" s="1" t="s">
        <v>2157</v>
      </c>
    </row>
    <row r="1137" spans="1:10" ht="48">
      <c r="A1137" s="1">
        <v>2023</v>
      </c>
      <c r="B1137" s="1" t="s">
        <v>9</v>
      </c>
      <c r="C1137" s="1" t="s">
        <v>2153</v>
      </c>
      <c r="D1137" s="1" t="s">
        <v>2154</v>
      </c>
      <c r="E1137" s="1" t="s">
        <v>2164</v>
      </c>
      <c r="F1137" s="1" t="s">
        <v>2165</v>
      </c>
      <c r="G1137" s="3">
        <v>0.9</v>
      </c>
      <c r="H1137" s="3">
        <f t="shared" si="352"/>
        <v>0.26</v>
      </c>
      <c r="I1137" s="3">
        <f>0+0+28%</f>
        <v>0.28000000000000003</v>
      </c>
      <c r="J1137" s="1" t="s">
        <v>2157</v>
      </c>
    </row>
    <row r="1138" spans="1:10" ht="48">
      <c r="A1138" s="1">
        <v>2023</v>
      </c>
      <c r="B1138" s="1" t="s">
        <v>9</v>
      </c>
      <c r="C1138" s="1" t="s">
        <v>2153</v>
      </c>
      <c r="D1138" s="1" t="s">
        <v>2154</v>
      </c>
      <c r="E1138" s="1" t="s">
        <v>2166</v>
      </c>
      <c r="F1138" s="1" t="s">
        <v>2167</v>
      </c>
      <c r="G1138" s="11">
        <v>8</v>
      </c>
      <c r="H1138" s="17">
        <f t="shared" ref="H1138:I1138" si="354">0+0+2</f>
        <v>2</v>
      </c>
      <c r="I1138" s="17">
        <f t="shared" si="354"/>
        <v>2</v>
      </c>
      <c r="J1138" s="1" t="s">
        <v>2157</v>
      </c>
    </row>
    <row r="1139" spans="1:10" ht="48">
      <c r="A1139" s="1">
        <v>2023</v>
      </c>
      <c r="B1139" s="1" t="s">
        <v>9</v>
      </c>
      <c r="C1139" s="1" t="s">
        <v>2153</v>
      </c>
      <c r="D1139" s="1" t="s">
        <v>2154</v>
      </c>
      <c r="E1139" s="1" t="s">
        <v>2168</v>
      </c>
      <c r="F1139" s="1" t="s">
        <v>2169</v>
      </c>
      <c r="G1139" s="2">
        <v>8</v>
      </c>
      <c r="H1139" s="17">
        <f t="shared" ref="H1139:H1140" si="355">0+0+2</f>
        <v>2</v>
      </c>
      <c r="I1139" s="17">
        <f t="shared" ref="I1139:I1140" si="356">0+0+0</f>
        <v>0</v>
      </c>
      <c r="J1139" s="1" t="s">
        <v>2157</v>
      </c>
    </row>
    <row r="1140" spans="1:10" ht="48">
      <c r="A1140" s="1">
        <v>2023</v>
      </c>
      <c r="B1140" s="1" t="s">
        <v>9</v>
      </c>
      <c r="C1140" s="1" t="s">
        <v>2153</v>
      </c>
      <c r="D1140" s="1" t="s">
        <v>2154</v>
      </c>
      <c r="E1140" s="1" t="s">
        <v>2170</v>
      </c>
      <c r="F1140" s="1" t="s">
        <v>2171</v>
      </c>
      <c r="G1140" s="2">
        <v>8</v>
      </c>
      <c r="H1140" s="17">
        <f t="shared" si="355"/>
        <v>2</v>
      </c>
      <c r="I1140" s="17">
        <f t="shared" si="356"/>
        <v>0</v>
      </c>
      <c r="J1140" s="1" t="s">
        <v>2157</v>
      </c>
    </row>
    <row r="1141" spans="1:10" ht="48">
      <c r="A1141" s="1">
        <v>2023</v>
      </c>
      <c r="B1141" s="1" t="s">
        <v>9</v>
      </c>
      <c r="C1141" s="1" t="s">
        <v>2153</v>
      </c>
      <c r="D1141" s="1" t="s">
        <v>2154</v>
      </c>
      <c r="E1141" s="1" t="s">
        <v>2172</v>
      </c>
      <c r="F1141" s="1" t="s">
        <v>2169</v>
      </c>
      <c r="G1141" s="2">
        <v>8</v>
      </c>
      <c r="H1141" s="17">
        <f>2+3+2</f>
        <v>7</v>
      </c>
      <c r="I1141" s="17">
        <f t="shared" ref="I1141:I1143" si="357">0+1+0</f>
        <v>1</v>
      </c>
      <c r="J1141" s="1" t="s">
        <v>2157</v>
      </c>
    </row>
    <row r="1142" spans="1:10" ht="48">
      <c r="A1142" s="1">
        <v>2023</v>
      </c>
      <c r="B1142" s="1" t="s">
        <v>9</v>
      </c>
      <c r="C1142" s="1" t="s">
        <v>2153</v>
      </c>
      <c r="D1142" s="1" t="s">
        <v>2154</v>
      </c>
      <c r="E1142" s="1" t="s">
        <v>2173</v>
      </c>
      <c r="F1142" s="1" t="s">
        <v>2174</v>
      </c>
      <c r="G1142" s="2">
        <v>8</v>
      </c>
      <c r="H1142" s="17">
        <f>5+2+2</f>
        <v>9</v>
      </c>
      <c r="I1142" s="17">
        <f t="shared" si="357"/>
        <v>1</v>
      </c>
      <c r="J1142" s="1" t="s">
        <v>2157</v>
      </c>
    </row>
    <row r="1143" spans="1:10" ht="48">
      <c r="A1143" s="1">
        <v>2023</v>
      </c>
      <c r="B1143" s="1" t="s">
        <v>9</v>
      </c>
      <c r="C1143" s="1" t="s">
        <v>2153</v>
      </c>
      <c r="D1143" s="1" t="s">
        <v>2154</v>
      </c>
      <c r="E1143" s="1" t="s">
        <v>2168</v>
      </c>
      <c r="F1143" s="1" t="s">
        <v>2169</v>
      </c>
      <c r="G1143" s="2">
        <v>8</v>
      </c>
      <c r="H1143" s="17">
        <f>4+4+3</f>
        <v>11</v>
      </c>
      <c r="I1143" s="17">
        <f t="shared" si="357"/>
        <v>1</v>
      </c>
      <c r="J1143" s="1" t="s">
        <v>2157</v>
      </c>
    </row>
    <row r="1144" spans="1:10" ht="60">
      <c r="A1144" s="1">
        <v>2023</v>
      </c>
      <c r="B1144" s="1" t="s">
        <v>9</v>
      </c>
      <c r="C1144" s="1" t="s">
        <v>2153</v>
      </c>
      <c r="D1144" s="1" t="s">
        <v>2175</v>
      </c>
      <c r="E1144" s="1" t="s">
        <v>2176</v>
      </c>
      <c r="F1144" s="1" t="s">
        <v>2177</v>
      </c>
      <c r="G1144" s="2">
        <v>0</v>
      </c>
      <c r="H1144" s="3">
        <f t="shared" ref="H1144:H1145" si="358">100%</f>
        <v>1</v>
      </c>
      <c r="I1144" s="3">
        <v>1</v>
      </c>
      <c r="J1144" s="1" t="s">
        <v>2178</v>
      </c>
    </row>
    <row r="1145" spans="1:10" ht="60">
      <c r="A1145" s="1">
        <v>2023</v>
      </c>
      <c r="B1145" s="1" t="s">
        <v>9</v>
      </c>
      <c r="C1145" s="1" t="s">
        <v>2153</v>
      </c>
      <c r="D1145" s="1" t="s">
        <v>2175</v>
      </c>
      <c r="E1145" s="1" t="s">
        <v>2179</v>
      </c>
      <c r="F1145" s="1" t="s">
        <v>2180</v>
      </c>
      <c r="G1145" s="2">
        <v>0</v>
      </c>
      <c r="H1145" s="3">
        <f t="shared" si="358"/>
        <v>1</v>
      </c>
      <c r="I1145" s="3">
        <v>1</v>
      </c>
      <c r="J1145" s="1" t="s">
        <v>2178</v>
      </c>
    </row>
    <row r="1146" spans="1:10" ht="60">
      <c r="A1146" s="1">
        <v>2023</v>
      </c>
      <c r="B1146" s="1" t="s">
        <v>9</v>
      </c>
      <c r="C1146" s="1" t="s">
        <v>2153</v>
      </c>
      <c r="D1146" s="1" t="s">
        <v>2175</v>
      </c>
      <c r="E1146" s="1" t="s">
        <v>2181</v>
      </c>
      <c r="F1146" s="1" t="s">
        <v>2182</v>
      </c>
      <c r="G1146" s="3">
        <v>0.59</v>
      </c>
      <c r="H1146" s="3">
        <f>0%+25%+0%</f>
        <v>0.25</v>
      </c>
      <c r="I1146" s="3">
        <f>0+25%+0%</f>
        <v>0.25</v>
      </c>
      <c r="J1146" s="1" t="s">
        <v>2178</v>
      </c>
    </row>
    <row r="1147" spans="1:10" ht="60">
      <c r="A1147" s="1">
        <v>2023</v>
      </c>
      <c r="B1147" s="1" t="s">
        <v>9</v>
      </c>
      <c r="C1147" s="1" t="s">
        <v>2153</v>
      </c>
      <c r="D1147" s="1" t="s">
        <v>2175</v>
      </c>
      <c r="E1147" s="1" t="s">
        <v>2183</v>
      </c>
      <c r="F1147" s="1" t="s">
        <v>2184</v>
      </c>
      <c r="G1147" s="3">
        <v>0.25</v>
      </c>
      <c r="H1147" s="3">
        <f t="shared" ref="H1147:I1147" si="359">10%+10%+10%</f>
        <v>0.30000000000000004</v>
      </c>
      <c r="I1147" s="3">
        <f t="shared" si="359"/>
        <v>0.30000000000000004</v>
      </c>
      <c r="J1147" s="1" t="s">
        <v>2178</v>
      </c>
    </row>
    <row r="1148" spans="1:10" ht="60">
      <c r="A1148" s="1">
        <v>2023</v>
      </c>
      <c r="B1148" s="1" t="s">
        <v>9</v>
      </c>
      <c r="C1148" s="1" t="s">
        <v>2153</v>
      </c>
      <c r="D1148" s="1" t="s">
        <v>2175</v>
      </c>
      <c r="E1148" s="1" t="s">
        <v>2185</v>
      </c>
      <c r="F1148" s="1" t="s">
        <v>2186</v>
      </c>
      <c r="G1148" s="2">
        <v>32</v>
      </c>
      <c r="H1148" s="2">
        <f t="shared" ref="H1148:I1148" si="360">0+0+8</f>
        <v>8</v>
      </c>
      <c r="I1148" s="2">
        <f t="shared" si="360"/>
        <v>8</v>
      </c>
      <c r="J1148" s="1" t="s">
        <v>2178</v>
      </c>
    </row>
    <row r="1149" spans="1:10" ht="60">
      <c r="A1149" s="1">
        <v>2023</v>
      </c>
      <c r="B1149" s="1" t="s">
        <v>9</v>
      </c>
      <c r="C1149" s="1" t="s">
        <v>2153</v>
      </c>
      <c r="D1149" s="1" t="s">
        <v>2175</v>
      </c>
      <c r="E1149" s="1" t="s">
        <v>2187</v>
      </c>
      <c r="F1149" s="1" t="s">
        <v>2188</v>
      </c>
      <c r="G1149" s="2">
        <v>32</v>
      </c>
      <c r="H1149" s="2">
        <f t="shared" ref="H1149:I1149" si="361">0+0+8</f>
        <v>8</v>
      </c>
      <c r="I1149" s="2">
        <f t="shared" si="361"/>
        <v>8</v>
      </c>
      <c r="J1149" s="1" t="s">
        <v>2178</v>
      </c>
    </row>
    <row r="1150" spans="1:10" ht="60">
      <c r="A1150" s="1">
        <v>2023</v>
      </c>
      <c r="B1150" s="1" t="s">
        <v>9</v>
      </c>
      <c r="C1150" s="1" t="s">
        <v>2153</v>
      </c>
      <c r="D1150" s="1" t="s">
        <v>2175</v>
      </c>
      <c r="E1150" s="1" t="s">
        <v>2187</v>
      </c>
      <c r="F1150" s="1" t="s">
        <v>2188</v>
      </c>
      <c r="G1150" s="2">
        <v>32</v>
      </c>
      <c r="H1150" s="2">
        <f t="shared" ref="H1150:I1150" si="362">0+0+8</f>
        <v>8</v>
      </c>
      <c r="I1150" s="2">
        <f t="shared" si="362"/>
        <v>8</v>
      </c>
      <c r="J1150" s="1" t="s">
        <v>2178</v>
      </c>
    </row>
    <row r="1151" spans="1:10" ht="60">
      <c r="A1151" s="1">
        <v>2023</v>
      </c>
      <c r="B1151" s="1" t="s">
        <v>9</v>
      </c>
      <c r="C1151" s="1" t="s">
        <v>2153</v>
      </c>
      <c r="D1151" s="1" t="s">
        <v>2175</v>
      </c>
      <c r="E1151" s="1" t="s">
        <v>2189</v>
      </c>
      <c r="F1151" s="1" t="s">
        <v>2186</v>
      </c>
      <c r="G1151" s="2">
        <v>32</v>
      </c>
      <c r="H1151" s="2">
        <f t="shared" ref="H1151:I1151" si="363">0+0+8</f>
        <v>8</v>
      </c>
      <c r="I1151" s="2">
        <f t="shared" si="363"/>
        <v>8</v>
      </c>
      <c r="J1151" s="1" t="s">
        <v>2178</v>
      </c>
    </row>
    <row r="1152" spans="1:10" ht="60">
      <c r="A1152" s="1">
        <v>2023</v>
      </c>
      <c r="B1152" s="1" t="s">
        <v>9</v>
      </c>
      <c r="C1152" s="1" t="s">
        <v>2153</v>
      </c>
      <c r="D1152" s="1" t="s">
        <v>2175</v>
      </c>
      <c r="E1152" s="1" t="s">
        <v>2190</v>
      </c>
      <c r="F1152" s="1" t="s">
        <v>2191</v>
      </c>
      <c r="G1152" s="2">
        <v>32</v>
      </c>
      <c r="H1152" s="2">
        <f t="shared" ref="H1152:I1152" si="364">0+0+8</f>
        <v>8</v>
      </c>
      <c r="I1152" s="2">
        <f t="shared" si="364"/>
        <v>8</v>
      </c>
      <c r="J1152" s="1" t="s">
        <v>2178</v>
      </c>
    </row>
    <row r="1153" spans="1:10" ht="60">
      <c r="A1153" s="1">
        <v>2023</v>
      </c>
      <c r="B1153" s="1" t="s">
        <v>9</v>
      </c>
      <c r="C1153" s="1" t="s">
        <v>2153</v>
      </c>
      <c r="D1153" s="1" t="s">
        <v>2175</v>
      </c>
      <c r="E1153" s="1" t="s">
        <v>2189</v>
      </c>
      <c r="F1153" s="1" t="s">
        <v>2186</v>
      </c>
      <c r="G1153" s="2">
        <v>4</v>
      </c>
      <c r="H1153" s="2">
        <f t="shared" ref="H1153:I1153" si="365">0+0+1</f>
        <v>1</v>
      </c>
      <c r="I1153" s="2">
        <f t="shared" si="365"/>
        <v>1</v>
      </c>
      <c r="J1153" s="1" t="s">
        <v>2178</v>
      </c>
    </row>
    <row r="1154" spans="1:10" ht="72">
      <c r="A1154" s="1">
        <v>2023</v>
      </c>
      <c r="B1154" s="1" t="s">
        <v>9</v>
      </c>
      <c r="C1154" s="1" t="s">
        <v>2153</v>
      </c>
      <c r="D1154" s="1" t="s">
        <v>2175</v>
      </c>
      <c r="E1154" s="1" t="s">
        <v>2192</v>
      </c>
      <c r="F1154" s="1" t="s">
        <v>2188</v>
      </c>
      <c r="G1154" s="2">
        <v>4</v>
      </c>
      <c r="H1154" s="2">
        <f t="shared" ref="H1154:I1154" si="366">0+0+1</f>
        <v>1</v>
      </c>
      <c r="I1154" s="2">
        <f t="shared" si="366"/>
        <v>1</v>
      </c>
      <c r="J1154" s="1" t="s">
        <v>2178</v>
      </c>
    </row>
    <row r="1155" spans="1:10" ht="60">
      <c r="A1155" s="1">
        <v>2023</v>
      </c>
      <c r="B1155" s="1" t="s">
        <v>9</v>
      </c>
      <c r="C1155" s="1" t="s">
        <v>2153</v>
      </c>
      <c r="D1155" s="1" t="s">
        <v>2175</v>
      </c>
      <c r="E1155" s="1" t="s">
        <v>2193</v>
      </c>
      <c r="F1155" s="1" t="s">
        <v>2188</v>
      </c>
      <c r="G1155" s="2">
        <v>4</v>
      </c>
      <c r="H1155" s="2">
        <f t="shared" ref="H1155:I1155" si="367">0+0+1</f>
        <v>1</v>
      </c>
      <c r="I1155" s="2">
        <f t="shared" si="367"/>
        <v>1</v>
      </c>
      <c r="J1155" s="1" t="s">
        <v>2178</v>
      </c>
    </row>
    <row r="1156" spans="1:10" ht="60">
      <c r="A1156" s="1">
        <v>2023</v>
      </c>
      <c r="B1156" s="1" t="s">
        <v>9</v>
      </c>
      <c r="C1156" s="1" t="s">
        <v>2153</v>
      </c>
      <c r="D1156" s="1" t="s">
        <v>2175</v>
      </c>
      <c r="E1156" s="1" t="s">
        <v>2194</v>
      </c>
      <c r="F1156" s="1" t="s">
        <v>2195</v>
      </c>
      <c r="G1156" s="2">
        <v>4</v>
      </c>
      <c r="H1156" s="2">
        <f t="shared" ref="H1156:I1156" si="368">0+0+1</f>
        <v>1</v>
      </c>
      <c r="I1156" s="2">
        <f t="shared" si="368"/>
        <v>1</v>
      </c>
      <c r="J1156" s="1" t="s">
        <v>2178</v>
      </c>
    </row>
    <row r="1157" spans="1:10" ht="48">
      <c r="A1157" s="1">
        <v>2023</v>
      </c>
      <c r="B1157" s="1" t="s">
        <v>9</v>
      </c>
      <c r="C1157" s="1" t="s">
        <v>2153</v>
      </c>
      <c r="D1157" s="1" t="s">
        <v>2196</v>
      </c>
      <c r="E1157" s="1" t="s">
        <v>2197</v>
      </c>
      <c r="F1157" s="1" t="s">
        <v>2198</v>
      </c>
      <c r="G1157" s="2">
        <v>0</v>
      </c>
      <c r="H1157" s="3">
        <f t="shared" ref="H1157:I1157" si="369">0+0+100%</f>
        <v>1</v>
      </c>
      <c r="I1157" s="3">
        <f t="shared" si="369"/>
        <v>1</v>
      </c>
      <c r="J1157" s="1" t="s">
        <v>2199</v>
      </c>
    </row>
    <row r="1158" spans="1:10" ht="48">
      <c r="A1158" s="1">
        <v>2023</v>
      </c>
      <c r="B1158" s="1" t="s">
        <v>9</v>
      </c>
      <c r="C1158" s="1" t="s">
        <v>2153</v>
      </c>
      <c r="D1158" s="1" t="s">
        <v>2196</v>
      </c>
      <c r="E1158" s="1" t="s">
        <v>2200</v>
      </c>
      <c r="F1158" s="1" t="s">
        <v>2201</v>
      </c>
      <c r="G1158" s="2">
        <v>0</v>
      </c>
      <c r="H1158" s="3">
        <f t="shared" ref="H1158:I1158" si="370">0+0+100%</f>
        <v>1</v>
      </c>
      <c r="I1158" s="3">
        <f t="shared" si="370"/>
        <v>1</v>
      </c>
      <c r="J1158" s="1" t="s">
        <v>2199</v>
      </c>
    </row>
    <row r="1159" spans="1:10" ht="48">
      <c r="A1159" s="1">
        <v>2023</v>
      </c>
      <c r="B1159" s="1" t="s">
        <v>9</v>
      </c>
      <c r="C1159" s="1" t="s">
        <v>2153</v>
      </c>
      <c r="D1159" s="1" t="s">
        <v>2196</v>
      </c>
      <c r="E1159" s="1" t="s">
        <v>2202</v>
      </c>
      <c r="F1159" s="1" t="s">
        <v>2203</v>
      </c>
      <c r="G1159" s="3">
        <v>1</v>
      </c>
      <c r="H1159" s="4">
        <f t="shared" ref="H1159:I1159" si="371">8.6%+8.6%+5.4%</f>
        <v>0.22599999999999998</v>
      </c>
      <c r="I1159" s="4">
        <f t="shared" si="371"/>
        <v>0.22599999999999998</v>
      </c>
      <c r="J1159" s="1" t="s">
        <v>2199</v>
      </c>
    </row>
    <row r="1160" spans="1:10" ht="48">
      <c r="A1160" s="1">
        <v>2023</v>
      </c>
      <c r="B1160" s="1" t="s">
        <v>9</v>
      </c>
      <c r="C1160" s="1" t="s">
        <v>2153</v>
      </c>
      <c r="D1160" s="1" t="s">
        <v>2196</v>
      </c>
      <c r="E1160" s="1" t="s">
        <v>2204</v>
      </c>
      <c r="F1160" s="1" t="s">
        <v>2205</v>
      </c>
      <c r="G1160" s="3">
        <v>0</v>
      </c>
      <c r="H1160" s="4">
        <f t="shared" ref="H1160:I1160" si="372">15.38%+15.38%+0%</f>
        <v>0.30760000000000004</v>
      </c>
      <c r="I1160" s="4">
        <f t="shared" si="372"/>
        <v>0.30760000000000004</v>
      </c>
      <c r="J1160" s="1" t="s">
        <v>2199</v>
      </c>
    </row>
    <row r="1161" spans="1:10" ht="48">
      <c r="A1161" s="1">
        <v>2023</v>
      </c>
      <c r="B1161" s="1" t="s">
        <v>9</v>
      </c>
      <c r="C1161" s="1" t="s">
        <v>2153</v>
      </c>
      <c r="D1161" s="1" t="s">
        <v>2196</v>
      </c>
      <c r="E1161" s="1" t="s">
        <v>2206</v>
      </c>
      <c r="F1161" s="1" t="s">
        <v>981</v>
      </c>
      <c r="G1161" s="5">
        <v>1324</v>
      </c>
      <c r="H1161" s="5">
        <f t="shared" ref="H1161:I1161" si="373">0+0+331</f>
        <v>331</v>
      </c>
      <c r="I1161" s="5">
        <f t="shared" si="373"/>
        <v>331</v>
      </c>
      <c r="J1161" s="1" t="s">
        <v>2199</v>
      </c>
    </row>
    <row r="1162" spans="1:10" ht="48">
      <c r="A1162" s="1">
        <v>2023</v>
      </c>
      <c r="B1162" s="1" t="s">
        <v>9</v>
      </c>
      <c r="C1162" s="1" t="s">
        <v>2153</v>
      </c>
      <c r="D1162" s="1" t="s">
        <v>2196</v>
      </c>
      <c r="E1162" s="1" t="s">
        <v>2207</v>
      </c>
      <c r="F1162" s="1" t="s">
        <v>2208</v>
      </c>
      <c r="G1162" s="5">
        <v>1324</v>
      </c>
      <c r="H1162" s="5">
        <f t="shared" ref="H1162:I1162" si="374">0+0+331</f>
        <v>331</v>
      </c>
      <c r="I1162" s="5">
        <f t="shared" si="374"/>
        <v>331</v>
      </c>
      <c r="J1162" s="1" t="s">
        <v>2199</v>
      </c>
    </row>
    <row r="1163" spans="1:10" ht="48">
      <c r="A1163" s="1">
        <v>2023</v>
      </c>
      <c r="B1163" s="1" t="s">
        <v>9</v>
      </c>
      <c r="C1163" s="1" t="s">
        <v>2153</v>
      </c>
      <c r="D1163" s="1" t="s">
        <v>2196</v>
      </c>
      <c r="E1163" s="1" t="s">
        <v>2209</v>
      </c>
      <c r="F1163" s="1" t="s">
        <v>2210</v>
      </c>
      <c r="G1163" s="5">
        <v>1324</v>
      </c>
      <c r="H1163" s="5">
        <f t="shared" ref="H1163:I1163" si="375">0+0+331</f>
        <v>331</v>
      </c>
      <c r="I1163" s="5">
        <f t="shared" si="375"/>
        <v>331</v>
      </c>
      <c r="J1163" s="1" t="s">
        <v>2199</v>
      </c>
    </row>
    <row r="1164" spans="1:10" ht="48">
      <c r="A1164" s="1">
        <v>2023</v>
      </c>
      <c r="B1164" s="1" t="s">
        <v>9</v>
      </c>
      <c r="C1164" s="1" t="s">
        <v>2153</v>
      </c>
      <c r="D1164" s="1" t="s">
        <v>2196</v>
      </c>
      <c r="E1164" s="1" t="s">
        <v>2211</v>
      </c>
      <c r="F1164" s="1" t="s">
        <v>2212</v>
      </c>
      <c r="G1164" s="2">
        <v>325</v>
      </c>
      <c r="H1164" s="2">
        <f t="shared" ref="H1164:I1164" si="376">0+0+81</f>
        <v>81</v>
      </c>
      <c r="I1164" s="2">
        <f t="shared" si="376"/>
        <v>81</v>
      </c>
      <c r="J1164" s="1" t="s">
        <v>2199</v>
      </c>
    </row>
    <row r="1165" spans="1:10" ht="48">
      <c r="A1165" s="1">
        <v>2023</v>
      </c>
      <c r="B1165" s="1" t="s">
        <v>9</v>
      </c>
      <c r="C1165" s="1" t="s">
        <v>2153</v>
      </c>
      <c r="D1165" s="1" t="s">
        <v>2196</v>
      </c>
      <c r="E1165" s="1" t="s">
        <v>2213</v>
      </c>
      <c r="F1165" s="1" t="s">
        <v>2214</v>
      </c>
      <c r="G1165" s="2">
        <v>325</v>
      </c>
      <c r="H1165" s="2">
        <f t="shared" ref="H1165:I1165" si="377">0+0+81</f>
        <v>81</v>
      </c>
      <c r="I1165" s="2">
        <f t="shared" si="377"/>
        <v>81</v>
      </c>
      <c r="J1165" s="1" t="s">
        <v>2199</v>
      </c>
    </row>
    <row r="1166" spans="1:10" ht="48">
      <c r="A1166" s="1">
        <v>2023</v>
      </c>
      <c r="B1166" s="1" t="s">
        <v>9</v>
      </c>
      <c r="C1166" s="1" t="s">
        <v>2153</v>
      </c>
      <c r="D1166" s="1" t="s">
        <v>2215</v>
      </c>
      <c r="E1166" s="1" t="s">
        <v>2216</v>
      </c>
      <c r="F1166" s="1" t="s">
        <v>2217</v>
      </c>
      <c r="G1166" s="2">
        <v>0</v>
      </c>
      <c r="H1166" s="3">
        <f t="shared" ref="H1166:I1166" si="378">0+0+100%</f>
        <v>1</v>
      </c>
      <c r="I1166" s="3">
        <f t="shared" si="378"/>
        <v>1</v>
      </c>
      <c r="J1166" s="1" t="s">
        <v>2218</v>
      </c>
    </row>
    <row r="1167" spans="1:10" ht="48">
      <c r="A1167" s="1">
        <v>2023</v>
      </c>
      <c r="B1167" s="1" t="s">
        <v>9</v>
      </c>
      <c r="C1167" s="1" t="s">
        <v>2153</v>
      </c>
      <c r="D1167" s="1" t="s">
        <v>2215</v>
      </c>
      <c r="E1167" s="1" t="s">
        <v>2219</v>
      </c>
      <c r="F1167" s="1" t="s">
        <v>2220</v>
      </c>
      <c r="G1167" s="2">
        <v>0</v>
      </c>
      <c r="H1167" s="3">
        <f t="shared" ref="H1167:I1167" si="379">0+0+100%</f>
        <v>1</v>
      </c>
      <c r="I1167" s="3">
        <f t="shared" si="379"/>
        <v>1</v>
      </c>
      <c r="J1167" s="1" t="s">
        <v>2218</v>
      </c>
    </row>
    <row r="1168" spans="1:10" ht="48">
      <c r="A1168" s="1">
        <v>2023</v>
      </c>
      <c r="B1168" s="1" t="s">
        <v>9</v>
      </c>
      <c r="C1168" s="1" t="s">
        <v>2153</v>
      </c>
      <c r="D1168" s="1" t="s">
        <v>2215</v>
      </c>
      <c r="E1168" s="1" t="s">
        <v>2221</v>
      </c>
      <c r="F1168" s="1" t="s">
        <v>2222</v>
      </c>
      <c r="G1168" s="3">
        <v>0.5</v>
      </c>
      <c r="H1168" s="3">
        <f t="shared" ref="H1168:I1168" si="380">50%+0%+0%</f>
        <v>0.5</v>
      </c>
      <c r="I1168" s="3">
        <f t="shared" si="380"/>
        <v>0.5</v>
      </c>
      <c r="J1168" s="1" t="s">
        <v>2218</v>
      </c>
    </row>
    <row r="1169" spans="1:10" ht="48">
      <c r="A1169" s="1">
        <v>2023</v>
      </c>
      <c r="B1169" s="1" t="s">
        <v>9</v>
      </c>
      <c r="C1169" s="1" t="s">
        <v>2153</v>
      </c>
      <c r="D1169" s="1" t="s">
        <v>2215</v>
      </c>
      <c r="E1169" s="1" t="s">
        <v>2223</v>
      </c>
      <c r="F1169" s="1" t="s">
        <v>316</v>
      </c>
      <c r="G1169" s="3">
        <v>1</v>
      </c>
      <c r="H1169" s="3">
        <f t="shared" ref="H1169:I1169" si="381">0%+0%+25%</f>
        <v>0.25</v>
      </c>
      <c r="I1169" s="3">
        <f t="shared" si="381"/>
        <v>0.25</v>
      </c>
      <c r="J1169" s="1" t="s">
        <v>2218</v>
      </c>
    </row>
    <row r="1170" spans="1:10" ht="60">
      <c r="A1170" s="1">
        <v>2023</v>
      </c>
      <c r="B1170" s="1" t="s">
        <v>9</v>
      </c>
      <c r="C1170" s="1" t="s">
        <v>2153</v>
      </c>
      <c r="D1170" s="1" t="s">
        <v>2215</v>
      </c>
      <c r="E1170" s="1" t="s">
        <v>2224</v>
      </c>
      <c r="F1170" s="1" t="s">
        <v>2225</v>
      </c>
      <c r="G1170" s="2">
        <v>3</v>
      </c>
      <c r="H1170" s="2">
        <f t="shared" ref="H1170:I1170" si="382">0+0+1</f>
        <v>1</v>
      </c>
      <c r="I1170" s="2">
        <f t="shared" si="382"/>
        <v>1</v>
      </c>
      <c r="J1170" s="1" t="s">
        <v>2218</v>
      </c>
    </row>
    <row r="1171" spans="1:10" ht="60">
      <c r="A1171" s="1">
        <v>2023</v>
      </c>
      <c r="B1171" s="1" t="s">
        <v>9</v>
      </c>
      <c r="C1171" s="1" t="s">
        <v>2153</v>
      </c>
      <c r="D1171" s="1" t="s">
        <v>2215</v>
      </c>
      <c r="E1171" s="1" t="s">
        <v>2226</v>
      </c>
      <c r="F1171" s="1" t="s">
        <v>2227</v>
      </c>
      <c r="G1171" s="2">
        <v>3</v>
      </c>
      <c r="H1171" s="2">
        <f t="shared" ref="H1171:I1171" si="383">0+0+1</f>
        <v>1</v>
      </c>
      <c r="I1171" s="2">
        <f t="shared" si="383"/>
        <v>1</v>
      </c>
      <c r="J1171" s="1" t="s">
        <v>2218</v>
      </c>
    </row>
    <row r="1172" spans="1:10" ht="48">
      <c r="A1172" s="1">
        <v>2023</v>
      </c>
      <c r="B1172" s="1" t="s">
        <v>9</v>
      </c>
      <c r="C1172" s="1" t="s">
        <v>2153</v>
      </c>
      <c r="D1172" s="1" t="s">
        <v>2215</v>
      </c>
      <c r="E1172" s="1" t="s">
        <v>2228</v>
      </c>
      <c r="F1172" s="1" t="s">
        <v>2229</v>
      </c>
      <c r="G1172" s="2">
        <v>3</v>
      </c>
      <c r="H1172" s="2">
        <f t="shared" ref="H1172:I1172" si="384">0+0+1</f>
        <v>1</v>
      </c>
      <c r="I1172" s="2">
        <f t="shared" si="384"/>
        <v>1</v>
      </c>
      <c r="J1172" s="1" t="s">
        <v>2218</v>
      </c>
    </row>
    <row r="1173" spans="1:10" ht="48">
      <c r="A1173" s="1">
        <v>2023</v>
      </c>
      <c r="B1173" s="1" t="s">
        <v>9</v>
      </c>
      <c r="C1173" s="1" t="s">
        <v>2153</v>
      </c>
      <c r="D1173" s="1" t="s">
        <v>2215</v>
      </c>
      <c r="E1173" s="1" t="s">
        <v>2230</v>
      </c>
      <c r="F1173" s="1" t="s">
        <v>2231</v>
      </c>
      <c r="G1173" s="2">
        <v>2</v>
      </c>
      <c r="H1173" s="2">
        <f t="shared" ref="H1173:I1173" si="385">0+0+1</f>
        <v>1</v>
      </c>
      <c r="I1173" s="2">
        <f t="shared" si="385"/>
        <v>1</v>
      </c>
      <c r="J1173" s="1" t="s">
        <v>2218</v>
      </c>
    </row>
    <row r="1174" spans="1:10" ht="48">
      <c r="A1174" s="1">
        <v>2023</v>
      </c>
      <c r="B1174" s="1" t="s">
        <v>9</v>
      </c>
      <c r="C1174" s="1" t="s">
        <v>2153</v>
      </c>
      <c r="D1174" s="1" t="s">
        <v>2215</v>
      </c>
      <c r="E1174" s="1" t="s">
        <v>2232</v>
      </c>
      <c r="F1174" s="1" t="s">
        <v>2233</v>
      </c>
      <c r="G1174" s="2">
        <v>3</v>
      </c>
      <c r="H1174" s="2">
        <f t="shared" ref="H1174:I1174" si="386">0+0+1</f>
        <v>1</v>
      </c>
      <c r="I1174" s="2">
        <f t="shared" si="386"/>
        <v>1</v>
      </c>
      <c r="J1174" s="1" t="s">
        <v>2218</v>
      </c>
    </row>
    <row r="1175" spans="1:10" ht="48">
      <c r="A1175" s="1">
        <v>2023</v>
      </c>
      <c r="B1175" s="1" t="s">
        <v>9</v>
      </c>
      <c r="C1175" s="1" t="s">
        <v>2153</v>
      </c>
      <c r="D1175" s="1" t="s">
        <v>2215</v>
      </c>
      <c r="E1175" s="1" t="s">
        <v>2234</v>
      </c>
      <c r="F1175" s="1" t="s">
        <v>2235</v>
      </c>
      <c r="G1175" s="2">
        <v>3</v>
      </c>
      <c r="H1175" s="2">
        <f t="shared" ref="H1175:I1175" si="387">0+0+1</f>
        <v>1</v>
      </c>
      <c r="I1175" s="2">
        <f t="shared" si="387"/>
        <v>1</v>
      </c>
      <c r="J1175" s="1" t="s">
        <v>2218</v>
      </c>
    </row>
    <row r="1176" spans="1:10" ht="24">
      <c r="A1176" s="1">
        <v>2023</v>
      </c>
      <c r="B1176" s="1" t="s">
        <v>9</v>
      </c>
      <c r="C1176" s="1" t="s">
        <v>10</v>
      </c>
      <c r="D1176" s="1" t="s">
        <v>2236</v>
      </c>
      <c r="E1176" s="1" t="s">
        <v>2237</v>
      </c>
      <c r="F1176" s="1" t="s">
        <v>2238</v>
      </c>
      <c r="G1176" s="28">
        <v>0</v>
      </c>
      <c r="H1176" s="29">
        <v>0</v>
      </c>
      <c r="I1176" s="30">
        <v>0</v>
      </c>
      <c r="J1176" s="31" t="s">
        <v>2239</v>
      </c>
    </row>
    <row r="1177" spans="1:10" ht="48">
      <c r="A1177" s="1">
        <v>2023</v>
      </c>
      <c r="B1177" s="1" t="s">
        <v>9</v>
      </c>
      <c r="C1177" s="1" t="s">
        <v>10</v>
      </c>
      <c r="D1177" s="1" t="s">
        <v>2236</v>
      </c>
      <c r="E1177" s="1" t="s">
        <v>2240</v>
      </c>
      <c r="F1177" s="1" t="s">
        <v>1804</v>
      </c>
      <c r="G1177" s="32">
        <v>0</v>
      </c>
      <c r="H1177" s="33">
        <v>0</v>
      </c>
      <c r="I1177" s="34">
        <v>0</v>
      </c>
      <c r="J1177" s="31" t="s">
        <v>2239</v>
      </c>
    </row>
    <row r="1178" spans="1:10" ht="36">
      <c r="A1178" s="1">
        <v>2023</v>
      </c>
      <c r="B1178" s="1" t="s">
        <v>9</v>
      </c>
      <c r="C1178" s="1" t="s">
        <v>10</v>
      </c>
      <c r="D1178" s="1" t="s">
        <v>2236</v>
      </c>
      <c r="E1178" s="1" t="s">
        <v>2241</v>
      </c>
      <c r="F1178" s="1" t="s">
        <v>2242</v>
      </c>
      <c r="G1178" s="33">
        <v>1</v>
      </c>
      <c r="H1178" s="33">
        <v>0.25</v>
      </c>
      <c r="I1178" s="34">
        <v>0.25</v>
      </c>
      <c r="J1178" s="31" t="s">
        <v>2239</v>
      </c>
    </row>
    <row r="1179" spans="1:10" ht="24">
      <c r="A1179" s="1">
        <v>2023</v>
      </c>
      <c r="B1179" s="1" t="s">
        <v>9</v>
      </c>
      <c r="C1179" s="1" t="s">
        <v>10</v>
      </c>
      <c r="D1179" s="1" t="s">
        <v>2236</v>
      </c>
      <c r="E1179" s="1" t="s">
        <v>2243</v>
      </c>
      <c r="F1179" s="1" t="s">
        <v>2244</v>
      </c>
      <c r="G1179" s="32">
        <v>0</v>
      </c>
      <c r="H1179" s="33">
        <v>0.23</v>
      </c>
      <c r="I1179" s="34">
        <v>0.52400000000000002</v>
      </c>
      <c r="J1179" s="31" t="s">
        <v>2239</v>
      </c>
    </row>
    <row r="1180" spans="1:10" ht="48">
      <c r="A1180" s="1">
        <v>2023</v>
      </c>
      <c r="B1180" s="1" t="s">
        <v>9</v>
      </c>
      <c r="C1180" s="1" t="s">
        <v>10</v>
      </c>
      <c r="D1180" s="1" t="s">
        <v>2236</v>
      </c>
      <c r="E1180" s="1" t="s">
        <v>2245</v>
      </c>
      <c r="F1180" s="1" t="s">
        <v>1675</v>
      </c>
      <c r="G1180" s="33">
        <v>0.25</v>
      </c>
      <c r="H1180" s="33">
        <v>0.25</v>
      </c>
      <c r="I1180" s="34">
        <v>0.25</v>
      </c>
      <c r="J1180" s="31" t="s">
        <v>2239</v>
      </c>
    </row>
    <row r="1181" spans="1:10" ht="24">
      <c r="A1181" s="1">
        <v>2023</v>
      </c>
      <c r="B1181" s="1" t="s">
        <v>9</v>
      </c>
      <c r="C1181" s="1" t="s">
        <v>10</v>
      </c>
      <c r="D1181" s="1" t="s">
        <v>2236</v>
      </c>
      <c r="E1181" s="1" t="s">
        <v>2246</v>
      </c>
      <c r="F1181" s="1" t="s">
        <v>2247</v>
      </c>
      <c r="G1181" s="33">
        <v>0</v>
      </c>
      <c r="H1181" s="33">
        <v>0.23</v>
      </c>
      <c r="I1181" s="34">
        <v>0.52400000000000002</v>
      </c>
      <c r="J1181" s="31" t="s">
        <v>2239</v>
      </c>
    </row>
    <row r="1182" spans="1:10" ht="48">
      <c r="A1182" s="1">
        <v>2023</v>
      </c>
      <c r="B1182" s="1" t="s">
        <v>9</v>
      </c>
      <c r="C1182" s="1" t="s">
        <v>10</v>
      </c>
      <c r="D1182" s="1" t="s">
        <v>2248</v>
      </c>
      <c r="E1182" s="1" t="s">
        <v>2249</v>
      </c>
      <c r="F1182" s="1" t="s">
        <v>2250</v>
      </c>
      <c r="G1182" s="32">
        <v>0</v>
      </c>
      <c r="H1182" s="28">
        <v>0</v>
      </c>
      <c r="I1182" s="28">
        <v>0</v>
      </c>
      <c r="J1182" s="31" t="s">
        <v>2239</v>
      </c>
    </row>
    <row r="1183" spans="1:10" ht="48">
      <c r="A1183" s="1">
        <v>2023</v>
      </c>
      <c r="B1183" s="1" t="s">
        <v>9</v>
      </c>
      <c r="C1183" s="1" t="s">
        <v>10</v>
      </c>
      <c r="D1183" s="1" t="s">
        <v>2248</v>
      </c>
      <c r="E1183" s="1" t="s">
        <v>2251</v>
      </c>
      <c r="F1183" s="1" t="s">
        <v>2252</v>
      </c>
      <c r="G1183" s="32">
        <v>0</v>
      </c>
      <c r="H1183" s="32">
        <v>0</v>
      </c>
      <c r="I1183" s="32">
        <v>0</v>
      </c>
      <c r="J1183" s="31" t="s">
        <v>2239</v>
      </c>
    </row>
    <row r="1184" spans="1:10" ht="48">
      <c r="A1184" s="1">
        <v>2023</v>
      </c>
      <c r="B1184" s="1" t="s">
        <v>9</v>
      </c>
      <c r="C1184" s="1" t="s">
        <v>10</v>
      </c>
      <c r="D1184" s="1" t="s">
        <v>2248</v>
      </c>
      <c r="E1184" s="1" t="s">
        <v>2253</v>
      </c>
      <c r="F1184" s="1" t="s">
        <v>2254</v>
      </c>
      <c r="G1184" s="34">
        <v>1</v>
      </c>
      <c r="H1184" s="34">
        <v>0.25</v>
      </c>
      <c r="I1184" s="34">
        <v>0.1666</v>
      </c>
      <c r="J1184" s="31" t="s">
        <v>2239</v>
      </c>
    </row>
    <row r="1185" spans="1:10" ht="48">
      <c r="A1185" s="1">
        <v>2023</v>
      </c>
      <c r="B1185" s="1" t="s">
        <v>9</v>
      </c>
      <c r="C1185" s="1" t="s">
        <v>10</v>
      </c>
      <c r="D1185" s="1" t="s">
        <v>2248</v>
      </c>
      <c r="E1185" s="1" t="s">
        <v>2255</v>
      </c>
      <c r="F1185" s="1" t="s">
        <v>1679</v>
      </c>
      <c r="G1185" s="34">
        <v>1</v>
      </c>
      <c r="H1185" s="34">
        <v>0.25</v>
      </c>
      <c r="I1185" s="34">
        <v>0.25</v>
      </c>
      <c r="J1185" s="31" t="s">
        <v>2239</v>
      </c>
    </row>
    <row r="1186" spans="1:10" ht="72">
      <c r="A1186" s="1">
        <v>2023</v>
      </c>
      <c r="B1186" s="1" t="s">
        <v>9</v>
      </c>
      <c r="C1186" s="1" t="s">
        <v>10</v>
      </c>
      <c r="D1186" s="1" t="s">
        <v>2248</v>
      </c>
      <c r="E1186" s="1" t="s">
        <v>2256</v>
      </c>
      <c r="F1186" s="1" t="s">
        <v>2257</v>
      </c>
      <c r="G1186" s="33">
        <v>1</v>
      </c>
      <c r="H1186" s="34">
        <v>0.25</v>
      </c>
      <c r="I1186" s="34">
        <v>0.25</v>
      </c>
      <c r="J1186" s="31" t="s">
        <v>2239</v>
      </c>
    </row>
    <row r="1187" spans="1:10" ht="48">
      <c r="A1187" s="1">
        <v>2023</v>
      </c>
      <c r="B1187" s="1" t="s">
        <v>9</v>
      </c>
      <c r="C1187" s="1" t="s">
        <v>10</v>
      </c>
      <c r="D1187" s="1" t="s">
        <v>2248</v>
      </c>
      <c r="E1187" s="1" t="s">
        <v>2258</v>
      </c>
      <c r="F1187" s="1" t="s">
        <v>2259</v>
      </c>
      <c r="G1187" s="34">
        <v>0.25</v>
      </c>
      <c r="H1187" s="34">
        <v>0.25</v>
      </c>
      <c r="I1187" s="34">
        <v>0.1666</v>
      </c>
      <c r="J1187" s="31" t="s">
        <v>2239</v>
      </c>
    </row>
    <row r="1188" spans="1:10" ht="60">
      <c r="A1188" s="1">
        <v>2023</v>
      </c>
      <c r="B1188" s="1" t="s">
        <v>9</v>
      </c>
      <c r="C1188" s="1" t="s">
        <v>10</v>
      </c>
      <c r="D1188" s="1" t="s">
        <v>2248</v>
      </c>
      <c r="E1188" s="1" t="s">
        <v>2260</v>
      </c>
      <c r="F1188" s="1" t="s">
        <v>2261</v>
      </c>
      <c r="G1188" s="34">
        <v>0.25</v>
      </c>
      <c r="H1188" s="34">
        <v>0.25</v>
      </c>
      <c r="I1188" s="34">
        <v>0.25</v>
      </c>
      <c r="J1188" s="31" t="s">
        <v>2239</v>
      </c>
    </row>
    <row r="1189" spans="1:10" ht="72">
      <c r="A1189" s="1">
        <v>2023</v>
      </c>
      <c r="B1189" s="1" t="s">
        <v>9</v>
      </c>
      <c r="C1189" s="1" t="s">
        <v>10</v>
      </c>
      <c r="D1189" s="1" t="s">
        <v>2248</v>
      </c>
      <c r="E1189" s="1" t="s">
        <v>2262</v>
      </c>
      <c r="F1189" s="1" t="s">
        <v>2263</v>
      </c>
      <c r="G1189" s="34">
        <v>0.25</v>
      </c>
      <c r="H1189" s="34">
        <v>0.25</v>
      </c>
      <c r="I1189" s="34">
        <v>0.25</v>
      </c>
      <c r="J1189" s="31" t="s">
        <v>2239</v>
      </c>
    </row>
    <row r="1190" spans="1:10" ht="36">
      <c r="A1190" s="1">
        <v>2023</v>
      </c>
      <c r="B1190" s="1" t="s">
        <v>9</v>
      </c>
      <c r="C1190" s="1" t="s">
        <v>10</v>
      </c>
      <c r="D1190" s="1" t="s">
        <v>2264</v>
      </c>
      <c r="E1190" s="1" t="s">
        <v>2265</v>
      </c>
      <c r="F1190" s="1" t="s">
        <v>2266</v>
      </c>
      <c r="G1190" s="32">
        <v>0</v>
      </c>
      <c r="H1190" s="28">
        <v>0</v>
      </c>
      <c r="I1190" s="28">
        <v>0</v>
      </c>
      <c r="J1190" s="31" t="s">
        <v>2239</v>
      </c>
    </row>
    <row r="1191" spans="1:10" ht="24">
      <c r="A1191" s="1">
        <v>2023</v>
      </c>
      <c r="B1191" s="1" t="s">
        <v>9</v>
      </c>
      <c r="C1191" s="1" t="s">
        <v>10</v>
      </c>
      <c r="D1191" s="1" t="s">
        <v>2264</v>
      </c>
      <c r="E1191" s="1" t="s">
        <v>2267</v>
      </c>
      <c r="F1191" s="1" t="s">
        <v>2268</v>
      </c>
      <c r="G1191" s="32">
        <v>0</v>
      </c>
      <c r="H1191" s="32">
        <v>0</v>
      </c>
      <c r="I1191" s="32">
        <v>0</v>
      </c>
      <c r="J1191" s="31" t="s">
        <v>2239</v>
      </c>
    </row>
    <row r="1192" spans="1:10" ht="24">
      <c r="A1192" s="1">
        <v>2023</v>
      </c>
      <c r="B1192" s="1" t="s">
        <v>9</v>
      </c>
      <c r="C1192" s="1" t="s">
        <v>10</v>
      </c>
      <c r="D1192" s="1" t="s">
        <v>2264</v>
      </c>
      <c r="E1192" s="1" t="s">
        <v>2269</v>
      </c>
      <c r="F1192" s="1" t="s">
        <v>2268</v>
      </c>
      <c r="G1192" s="34">
        <v>1</v>
      </c>
      <c r="H1192" s="33">
        <v>0.18</v>
      </c>
      <c r="I1192" s="33">
        <v>0.22</v>
      </c>
      <c r="J1192" s="31" t="s">
        <v>2239</v>
      </c>
    </row>
    <row r="1193" spans="1:10" ht="36">
      <c r="A1193" s="1">
        <v>2023</v>
      </c>
      <c r="B1193" s="1" t="s">
        <v>9</v>
      </c>
      <c r="C1193" s="1" t="s">
        <v>10</v>
      </c>
      <c r="D1193" s="1" t="s">
        <v>2264</v>
      </c>
      <c r="E1193" s="1" t="s">
        <v>2270</v>
      </c>
      <c r="F1193" s="1" t="s">
        <v>1589</v>
      </c>
      <c r="G1193" s="33">
        <v>1</v>
      </c>
      <c r="H1193" s="33">
        <v>0.22</v>
      </c>
      <c r="I1193" s="33">
        <v>0.19</v>
      </c>
      <c r="J1193" s="31" t="s">
        <v>2239</v>
      </c>
    </row>
    <row r="1194" spans="1:10" ht="48">
      <c r="A1194" s="1">
        <v>2023</v>
      </c>
      <c r="B1194" s="1" t="s">
        <v>9</v>
      </c>
      <c r="C1194" s="1" t="s">
        <v>10</v>
      </c>
      <c r="D1194" s="1" t="s">
        <v>2264</v>
      </c>
      <c r="E1194" s="1" t="s">
        <v>2271</v>
      </c>
      <c r="F1194" s="1" t="s">
        <v>2271</v>
      </c>
      <c r="G1194" s="34">
        <v>1</v>
      </c>
      <c r="H1194" s="33">
        <v>0.25</v>
      </c>
      <c r="I1194" s="33">
        <v>0.24</v>
      </c>
      <c r="J1194" s="31" t="s">
        <v>2239</v>
      </c>
    </row>
    <row r="1195" spans="1:10" ht="36">
      <c r="A1195" s="1">
        <v>2023</v>
      </c>
      <c r="B1195" s="1" t="s">
        <v>9</v>
      </c>
      <c r="C1195" s="1" t="s">
        <v>10</v>
      </c>
      <c r="D1195" s="1" t="s">
        <v>2264</v>
      </c>
      <c r="E1195" s="1" t="s">
        <v>2272</v>
      </c>
      <c r="F1195" s="1" t="s">
        <v>2273</v>
      </c>
      <c r="G1195" s="34">
        <v>1</v>
      </c>
      <c r="H1195" s="34">
        <v>0.25</v>
      </c>
      <c r="I1195" s="34">
        <v>0.24990000000000001</v>
      </c>
      <c r="J1195" s="31" t="s">
        <v>2239</v>
      </c>
    </row>
    <row r="1196" spans="1:10" ht="24">
      <c r="A1196" s="1">
        <v>2023</v>
      </c>
      <c r="B1196" s="1" t="s">
        <v>9</v>
      </c>
      <c r="C1196" s="1" t="s">
        <v>10</v>
      </c>
      <c r="D1196" s="1" t="s">
        <v>2264</v>
      </c>
      <c r="E1196" s="1" t="s">
        <v>2274</v>
      </c>
      <c r="F1196" s="1" t="s">
        <v>2275</v>
      </c>
      <c r="G1196" s="34">
        <v>1</v>
      </c>
      <c r="H1196" s="33">
        <v>0.23</v>
      </c>
      <c r="I1196" s="33">
        <v>0.23</v>
      </c>
      <c r="J1196" s="31" t="s">
        <v>2239</v>
      </c>
    </row>
    <row r="1197" spans="1:10" ht="36">
      <c r="A1197" s="1">
        <v>2023</v>
      </c>
      <c r="B1197" s="1" t="s">
        <v>9</v>
      </c>
      <c r="C1197" s="1" t="s">
        <v>10</v>
      </c>
      <c r="D1197" s="1" t="s">
        <v>2264</v>
      </c>
      <c r="E1197" s="1" t="s">
        <v>2276</v>
      </c>
      <c r="F1197" s="1" t="s">
        <v>2277</v>
      </c>
      <c r="G1197" s="34">
        <v>0.25</v>
      </c>
      <c r="H1197" s="34">
        <v>9.0899999999999995E-2</v>
      </c>
      <c r="I1197" s="34">
        <v>0.1113</v>
      </c>
      <c r="J1197" s="31" t="s">
        <v>2239</v>
      </c>
    </row>
    <row r="1198" spans="1:10" ht="24">
      <c r="A1198" s="1">
        <v>2023</v>
      </c>
      <c r="B1198" s="1" t="s">
        <v>9</v>
      </c>
      <c r="C1198" s="1" t="s">
        <v>10</v>
      </c>
      <c r="D1198" s="1" t="s">
        <v>2264</v>
      </c>
      <c r="E1198" s="1" t="s">
        <v>2278</v>
      </c>
      <c r="F1198" s="1" t="s">
        <v>2279</v>
      </c>
      <c r="G1198" s="34">
        <v>0.25</v>
      </c>
      <c r="H1198" s="34">
        <v>9.0899999999999995E-2</v>
      </c>
      <c r="I1198" s="34">
        <v>0.1113</v>
      </c>
      <c r="J1198" s="31" t="s">
        <v>2239</v>
      </c>
    </row>
    <row r="1199" spans="1:10" ht="36">
      <c r="A1199" s="1">
        <v>2023</v>
      </c>
      <c r="B1199" s="1" t="s">
        <v>9</v>
      </c>
      <c r="C1199" s="1" t="s">
        <v>10</v>
      </c>
      <c r="D1199" s="1" t="s">
        <v>2264</v>
      </c>
      <c r="E1199" s="1" t="s">
        <v>2280</v>
      </c>
      <c r="F1199" s="1" t="s">
        <v>2281</v>
      </c>
      <c r="G1199" s="34">
        <v>0.25</v>
      </c>
      <c r="H1199" s="34">
        <v>5.5500000000000001E-2</v>
      </c>
      <c r="I1199" s="34">
        <v>4.6800000000000001E-2</v>
      </c>
      <c r="J1199" s="31" t="s">
        <v>2239</v>
      </c>
    </row>
    <row r="1200" spans="1:10" ht="24">
      <c r="A1200" s="1">
        <v>2023</v>
      </c>
      <c r="B1200" s="1" t="s">
        <v>9</v>
      </c>
      <c r="C1200" s="1" t="s">
        <v>10</v>
      </c>
      <c r="D1200" s="1" t="s">
        <v>2264</v>
      </c>
      <c r="E1200" s="1" t="s">
        <v>2282</v>
      </c>
      <c r="F1200" s="1" t="s">
        <v>2283</v>
      </c>
      <c r="G1200" s="34">
        <v>0.25</v>
      </c>
      <c r="H1200" s="34">
        <v>5.5500000000000001E-2</v>
      </c>
      <c r="I1200" s="34">
        <v>4.6800000000000001E-2</v>
      </c>
      <c r="J1200" s="31" t="s">
        <v>2239</v>
      </c>
    </row>
    <row r="1201" spans="1:10" ht="36">
      <c r="A1201" s="1">
        <v>2023</v>
      </c>
      <c r="B1201" s="1" t="s">
        <v>9</v>
      </c>
      <c r="C1201" s="1" t="s">
        <v>10</v>
      </c>
      <c r="D1201" s="1" t="s">
        <v>2264</v>
      </c>
      <c r="E1201" s="1" t="s">
        <v>2284</v>
      </c>
      <c r="F1201" s="1" t="s">
        <v>2285</v>
      </c>
      <c r="G1201" s="34">
        <v>0.25</v>
      </c>
      <c r="H1201" s="34">
        <v>5.5500000000000001E-2</v>
      </c>
      <c r="I1201" s="34">
        <v>4.6800000000000001E-2</v>
      </c>
      <c r="J1201" s="31" t="s">
        <v>2239</v>
      </c>
    </row>
    <row r="1202" spans="1:10" ht="36">
      <c r="A1202" s="1">
        <v>2023</v>
      </c>
      <c r="B1202" s="1" t="s">
        <v>9</v>
      </c>
      <c r="C1202" s="1" t="s">
        <v>10</v>
      </c>
      <c r="D1202" s="1" t="s">
        <v>2264</v>
      </c>
      <c r="E1202" s="1" t="s">
        <v>2286</v>
      </c>
      <c r="F1202" s="1" t="s">
        <v>2287</v>
      </c>
      <c r="G1202" s="34">
        <v>0.25</v>
      </c>
      <c r="H1202" s="34">
        <v>5.5500000000000001E-2</v>
      </c>
      <c r="I1202" s="34">
        <v>4.6800000000000001E-2</v>
      </c>
      <c r="J1202" s="31" t="s">
        <v>2239</v>
      </c>
    </row>
    <row r="1203" spans="1:10" ht="24">
      <c r="A1203" s="1">
        <v>2023</v>
      </c>
      <c r="B1203" s="1" t="s">
        <v>9</v>
      </c>
      <c r="C1203" s="1" t="s">
        <v>10</v>
      </c>
      <c r="D1203" s="1" t="s">
        <v>2264</v>
      </c>
      <c r="E1203" s="1" t="s">
        <v>2288</v>
      </c>
      <c r="F1203" s="1" t="s">
        <v>2289</v>
      </c>
      <c r="G1203" s="34">
        <v>0.25</v>
      </c>
      <c r="H1203" s="34">
        <v>0.1249</v>
      </c>
      <c r="I1203" s="34">
        <v>0.12089999999999999</v>
      </c>
      <c r="J1203" s="31" t="s">
        <v>2239</v>
      </c>
    </row>
    <row r="1204" spans="1:10" ht="24">
      <c r="A1204" s="1">
        <v>2023</v>
      </c>
      <c r="B1204" s="1" t="s">
        <v>9</v>
      </c>
      <c r="C1204" s="1" t="s">
        <v>10</v>
      </c>
      <c r="D1204" s="1" t="s">
        <v>2264</v>
      </c>
      <c r="E1204" s="1" t="s">
        <v>2290</v>
      </c>
      <c r="F1204" s="1" t="s">
        <v>2289</v>
      </c>
      <c r="G1204" s="34">
        <v>0.25</v>
      </c>
      <c r="H1204" s="34">
        <v>0.1249</v>
      </c>
      <c r="I1204" s="34">
        <v>0.12089999999999999</v>
      </c>
      <c r="J1204" s="31" t="s">
        <v>2239</v>
      </c>
    </row>
    <row r="1205" spans="1:10" ht="36">
      <c r="A1205" s="1">
        <v>2023</v>
      </c>
      <c r="B1205" s="1" t="s">
        <v>9</v>
      </c>
      <c r="C1205" s="1" t="s">
        <v>10</v>
      </c>
      <c r="D1205" s="1" t="s">
        <v>2264</v>
      </c>
      <c r="E1205" s="1" t="s">
        <v>2291</v>
      </c>
      <c r="F1205" s="1" t="s">
        <v>2292</v>
      </c>
      <c r="G1205" s="34">
        <v>0.25</v>
      </c>
      <c r="H1205" s="34">
        <v>0.1249</v>
      </c>
      <c r="I1205" s="34">
        <v>0.1249</v>
      </c>
      <c r="J1205" s="31" t="s">
        <v>2239</v>
      </c>
    </row>
    <row r="1206" spans="1:10" ht="24">
      <c r="A1206" s="1">
        <v>2023</v>
      </c>
      <c r="B1206" s="1" t="s">
        <v>9</v>
      </c>
      <c r="C1206" s="1" t="s">
        <v>10</v>
      </c>
      <c r="D1206" s="1" t="s">
        <v>2264</v>
      </c>
      <c r="E1206" s="1" t="s">
        <v>2293</v>
      </c>
      <c r="F1206" s="1" t="s">
        <v>2294</v>
      </c>
      <c r="G1206" s="34">
        <v>0.25</v>
      </c>
      <c r="H1206" s="34">
        <v>0.1249</v>
      </c>
      <c r="I1206" s="34">
        <v>0.1249</v>
      </c>
      <c r="J1206" s="31" t="s">
        <v>2239</v>
      </c>
    </row>
    <row r="1207" spans="1:10" ht="36">
      <c r="A1207" s="1">
        <v>2023</v>
      </c>
      <c r="B1207" s="1" t="s">
        <v>9</v>
      </c>
      <c r="C1207" s="1" t="s">
        <v>10</v>
      </c>
      <c r="D1207" s="1" t="s">
        <v>2264</v>
      </c>
      <c r="E1207" s="1" t="s">
        <v>2295</v>
      </c>
      <c r="F1207" s="1" t="s">
        <v>2296</v>
      </c>
      <c r="G1207" s="34">
        <v>0.25</v>
      </c>
      <c r="H1207" s="34">
        <v>7.6899999999999996E-2</v>
      </c>
      <c r="I1207" s="34">
        <v>7.6899999999999996E-2</v>
      </c>
      <c r="J1207" s="31" t="s">
        <v>2239</v>
      </c>
    </row>
    <row r="1208" spans="1:10" ht="24">
      <c r="A1208" s="1">
        <v>2023</v>
      </c>
      <c r="B1208" s="1" t="s">
        <v>9</v>
      </c>
      <c r="C1208" s="1" t="s">
        <v>10</v>
      </c>
      <c r="D1208" s="1" t="s">
        <v>2264</v>
      </c>
      <c r="E1208" s="1" t="s">
        <v>2293</v>
      </c>
      <c r="F1208" s="1" t="s">
        <v>2294</v>
      </c>
      <c r="G1208" s="34">
        <v>0.25</v>
      </c>
      <c r="H1208" s="34">
        <v>7.6899999999999996E-2</v>
      </c>
      <c r="I1208" s="34">
        <v>7.6899999999999996E-2</v>
      </c>
      <c r="J1208" s="31" t="s">
        <v>2239</v>
      </c>
    </row>
    <row r="1209" spans="1:10" ht="36">
      <c r="A1209" s="1">
        <v>2023</v>
      </c>
      <c r="B1209" s="1" t="s">
        <v>9</v>
      </c>
      <c r="C1209" s="1" t="s">
        <v>10</v>
      </c>
      <c r="D1209" s="1" t="s">
        <v>2264</v>
      </c>
      <c r="E1209" s="1" t="s">
        <v>2297</v>
      </c>
      <c r="F1209" s="1" t="s">
        <v>2298</v>
      </c>
      <c r="G1209" s="34">
        <v>0.25</v>
      </c>
      <c r="H1209" s="34">
        <v>7.6899999999999996E-2</v>
      </c>
      <c r="I1209" s="34">
        <v>7.6899999999999996E-2</v>
      </c>
      <c r="J1209" s="31" t="s">
        <v>2239</v>
      </c>
    </row>
    <row r="1210" spans="1:10" ht="48">
      <c r="A1210" s="1">
        <v>2023</v>
      </c>
      <c r="B1210" s="1" t="s">
        <v>9</v>
      </c>
      <c r="C1210" s="1" t="s">
        <v>92</v>
      </c>
      <c r="D1210" s="1" t="s">
        <v>2299</v>
      </c>
      <c r="E1210" s="1" t="s">
        <v>2300</v>
      </c>
      <c r="F1210" s="1" t="s">
        <v>2301</v>
      </c>
      <c r="G1210" s="32">
        <v>0</v>
      </c>
      <c r="H1210" s="32">
        <v>0</v>
      </c>
      <c r="I1210" s="32">
        <v>0</v>
      </c>
      <c r="J1210" s="31" t="s">
        <v>2239</v>
      </c>
    </row>
    <row r="1211" spans="1:10" ht="48">
      <c r="A1211" s="1">
        <v>2023</v>
      </c>
      <c r="B1211" s="1" t="s">
        <v>9</v>
      </c>
      <c r="C1211" s="1" t="s">
        <v>92</v>
      </c>
      <c r="D1211" s="1" t="s">
        <v>2299</v>
      </c>
      <c r="E1211" s="1" t="s">
        <v>2302</v>
      </c>
      <c r="F1211" s="1" t="s">
        <v>2303</v>
      </c>
      <c r="G1211" s="32">
        <v>0</v>
      </c>
      <c r="H1211" s="32">
        <v>0</v>
      </c>
      <c r="I1211" s="32">
        <v>0</v>
      </c>
      <c r="J1211" s="31" t="s">
        <v>2239</v>
      </c>
    </row>
    <row r="1212" spans="1:10" ht="48">
      <c r="A1212" s="1">
        <v>2023</v>
      </c>
      <c r="B1212" s="1" t="s">
        <v>9</v>
      </c>
      <c r="C1212" s="1" t="s">
        <v>92</v>
      </c>
      <c r="D1212" s="1" t="s">
        <v>2299</v>
      </c>
      <c r="E1212" s="1" t="s">
        <v>2304</v>
      </c>
      <c r="F1212" s="1" t="s">
        <v>984</v>
      </c>
      <c r="G1212" s="34">
        <v>1</v>
      </c>
      <c r="H1212" s="33">
        <v>0.23</v>
      </c>
      <c r="I1212" s="33">
        <v>0.28000000000000003</v>
      </c>
      <c r="J1212" s="31" t="s">
        <v>2239</v>
      </c>
    </row>
    <row r="1213" spans="1:10" ht="48">
      <c r="A1213" s="1">
        <v>2023</v>
      </c>
      <c r="B1213" s="1" t="s">
        <v>9</v>
      </c>
      <c r="C1213" s="1" t="s">
        <v>92</v>
      </c>
      <c r="D1213" s="1" t="s">
        <v>2299</v>
      </c>
      <c r="E1213" s="1" t="s">
        <v>2305</v>
      </c>
      <c r="F1213" s="1" t="s">
        <v>2306</v>
      </c>
      <c r="G1213" s="34">
        <v>1</v>
      </c>
      <c r="H1213" s="33">
        <v>0.21</v>
      </c>
      <c r="I1213" s="33">
        <v>0.21</v>
      </c>
      <c r="J1213" s="31" t="s">
        <v>2239</v>
      </c>
    </row>
    <row r="1214" spans="1:10" ht="48">
      <c r="A1214" s="1">
        <v>2023</v>
      </c>
      <c r="B1214" s="1" t="s">
        <v>9</v>
      </c>
      <c r="C1214" s="1" t="s">
        <v>92</v>
      </c>
      <c r="D1214" s="1" t="s">
        <v>2299</v>
      </c>
      <c r="E1214" s="1" t="s">
        <v>2307</v>
      </c>
      <c r="F1214" s="1" t="s">
        <v>2308</v>
      </c>
      <c r="G1214" s="34">
        <v>1</v>
      </c>
      <c r="H1214" s="34">
        <v>0.3</v>
      </c>
      <c r="I1214" s="34">
        <v>9.9900000000000003E-2</v>
      </c>
      <c r="J1214" s="31" t="s">
        <v>2239</v>
      </c>
    </row>
    <row r="1215" spans="1:10" ht="48">
      <c r="A1215" s="1">
        <v>2023</v>
      </c>
      <c r="B1215" s="1" t="s">
        <v>9</v>
      </c>
      <c r="C1215" s="1" t="s">
        <v>92</v>
      </c>
      <c r="D1215" s="1" t="s">
        <v>2299</v>
      </c>
      <c r="E1215" s="1" t="s">
        <v>2309</v>
      </c>
      <c r="F1215" s="1" t="s">
        <v>2310</v>
      </c>
      <c r="G1215" s="33">
        <v>1</v>
      </c>
      <c r="H1215" s="33">
        <v>0</v>
      </c>
      <c r="I1215" s="32">
        <v>1.69</v>
      </c>
      <c r="J1215" s="31" t="s">
        <v>2239</v>
      </c>
    </row>
    <row r="1216" spans="1:10" ht="48">
      <c r="A1216" s="1">
        <v>2023</v>
      </c>
      <c r="B1216" s="1" t="s">
        <v>9</v>
      </c>
      <c r="C1216" s="1" t="s">
        <v>92</v>
      </c>
      <c r="D1216" s="1" t="s">
        <v>2299</v>
      </c>
      <c r="E1216" s="1" t="s">
        <v>2311</v>
      </c>
      <c r="F1216" s="1" t="s">
        <v>2312</v>
      </c>
      <c r="G1216" s="34">
        <v>1</v>
      </c>
      <c r="H1216" s="33">
        <v>0.25</v>
      </c>
      <c r="I1216" s="32">
        <v>26.39</v>
      </c>
      <c r="J1216" s="31" t="s">
        <v>2239</v>
      </c>
    </row>
    <row r="1217" spans="1:10" ht="48">
      <c r="A1217" s="1">
        <v>2023</v>
      </c>
      <c r="B1217" s="1" t="s">
        <v>9</v>
      </c>
      <c r="C1217" s="1" t="s">
        <v>92</v>
      </c>
      <c r="D1217" s="1" t="s">
        <v>2299</v>
      </c>
      <c r="E1217" s="1" t="s">
        <v>2313</v>
      </c>
      <c r="F1217" s="1" t="s">
        <v>2314</v>
      </c>
      <c r="G1217" s="34">
        <v>0.25</v>
      </c>
      <c r="H1217" s="34">
        <v>3.2899999999999999E-2</v>
      </c>
      <c r="I1217" s="34">
        <v>3.95E-2</v>
      </c>
      <c r="J1217" s="31" t="s">
        <v>2239</v>
      </c>
    </row>
    <row r="1218" spans="1:10" ht="48">
      <c r="A1218" s="1">
        <v>2023</v>
      </c>
      <c r="B1218" s="1" t="s">
        <v>9</v>
      </c>
      <c r="C1218" s="1" t="s">
        <v>92</v>
      </c>
      <c r="D1218" s="1" t="s">
        <v>2299</v>
      </c>
      <c r="E1218" s="1" t="s">
        <v>2315</v>
      </c>
      <c r="F1218" s="1" t="s">
        <v>2316</v>
      </c>
      <c r="G1218" s="34">
        <v>0.25</v>
      </c>
      <c r="H1218" s="34">
        <v>3.2899999999999999E-2</v>
      </c>
      <c r="I1218" s="34">
        <v>3.95E-2</v>
      </c>
      <c r="J1218" s="31" t="s">
        <v>2239</v>
      </c>
    </row>
    <row r="1219" spans="1:10" ht="48">
      <c r="A1219" s="1">
        <v>2023</v>
      </c>
      <c r="B1219" s="1" t="s">
        <v>9</v>
      </c>
      <c r="C1219" s="1" t="s">
        <v>92</v>
      </c>
      <c r="D1219" s="1" t="s">
        <v>2299</v>
      </c>
      <c r="E1219" s="1" t="s">
        <v>2317</v>
      </c>
      <c r="F1219" s="1" t="s">
        <v>2318</v>
      </c>
      <c r="G1219" s="34">
        <v>0.25</v>
      </c>
      <c r="H1219" s="34">
        <v>3.2899999999999999E-2</v>
      </c>
      <c r="I1219" s="34">
        <v>3.95E-2</v>
      </c>
      <c r="J1219" s="31" t="s">
        <v>2239</v>
      </c>
    </row>
    <row r="1220" spans="1:10" ht="48">
      <c r="A1220" s="1">
        <v>2023</v>
      </c>
      <c r="B1220" s="1" t="s">
        <v>9</v>
      </c>
      <c r="C1220" s="1" t="s">
        <v>92</v>
      </c>
      <c r="D1220" s="1" t="s">
        <v>2299</v>
      </c>
      <c r="E1220" s="1" t="s">
        <v>2319</v>
      </c>
      <c r="F1220" s="1" t="s">
        <v>2320</v>
      </c>
      <c r="G1220" s="34">
        <v>0.25</v>
      </c>
      <c r="H1220" s="34">
        <v>3.2899999999999999E-2</v>
      </c>
      <c r="I1220" s="34">
        <v>3.95E-2</v>
      </c>
      <c r="J1220" s="31" t="s">
        <v>2239</v>
      </c>
    </row>
    <row r="1221" spans="1:10" ht="48">
      <c r="A1221" s="1">
        <v>2023</v>
      </c>
      <c r="B1221" s="1" t="s">
        <v>9</v>
      </c>
      <c r="C1221" s="1" t="s">
        <v>92</v>
      </c>
      <c r="D1221" s="1" t="s">
        <v>2299</v>
      </c>
      <c r="E1221" s="1" t="s">
        <v>2321</v>
      </c>
      <c r="F1221" s="1" t="s">
        <v>2322</v>
      </c>
      <c r="G1221" s="34">
        <v>0.25</v>
      </c>
      <c r="H1221" s="34">
        <v>3.2899999999999999E-2</v>
      </c>
      <c r="I1221" s="34">
        <v>3.95E-2</v>
      </c>
      <c r="J1221" s="31" t="s">
        <v>2239</v>
      </c>
    </row>
    <row r="1222" spans="1:10" ht="48">
      <c r="A1222" s="1">
        <v>2023</v>
      </c>
      <c r="B1222" s="1" t="s">
        <v>9</v>
      </c>
      <c r="C1222" s="1" t="s">
        <v>92</v>
      </c>
      <c r="D1222" s="1" t="s">
        <v>2299</v>
      </c>
      <c r="E1222" s="1" t="s">
        <v>2323</v>
      </c>
      <c r="F1222" s="1" t="s">
        <v>2324</v>
      </c>
      <c r="G1222" s="34">
        <v>0.25</v>
      </c>
      <c r="H1222" s="34">
        <v>3.2899999999999999E-2</v>
      </c>
      <c r="I1222" s="34">
        <v>3.95E-2</v>
      </c>
      <c r="J1222" s="31" t="s">
        <v>2239</v>
      </c>
    </row>
    <row r="1223" spans="1:10" ht="48">
      <c r="A1223" s="1">
        <v>2023</v>
      </c>
      <c r="B1223" s="1" t="s">
        <v>9</v>
      </c>
      <c r="C1223" s="1" t="s">
        <v>92</v>
      </c>
      <c r="D1223" s="1" t="s">
        <v>2299</v>
      </c>
      <c r="E1223" s="1" t="s">
        <v>2325</v>
      </c>
      <c r="F1223" s="1" t="s">
        <v>2316</v>
      </c>
      <c r="G1223" s="34">
        <v>0.25</v>
      </c>
      <c r="H1223" s="34">
        <v>3.2899999999999999E-2</v>
      </c>
      <c r="I1223" s="34">
        <v>3.95E-2</v>
      </c>
      <c r="J1223" s="31" t="s">
        <v>2239</v>
      </c>
    </row>
    <row r="1224" spans="1:10" ht="48">
      <c r="A1224" s="1">
        <v>2023</v>
      </c>
      <c r="B1224" s="1" t="s">
        <v>9</v>
      </c>
      <c r="C1224" s="1" t="s">
        <v>92</v>
      </c>
      <c r="D1224" s="1" t="s">
        <v>2299</v>
      </c>
      <c r="E1224" s="1" t="s">
        <v>2326</v>
      </c>
      <c r="F1224" s="1" t="s">
        <v>2327</v>
      </c>
      <c r="G1224" s="33">
        <v>0.25</v>
      </c>
      <c r="H1224" s="33">
        <v>7.0000000000000007E-2</v>
      </c>
      <c r="I1224" s="33">
        <v>7.0000000000000007E-2</v>
      </c>
      <c r="J1224" s="31" t="s">
        <v>2239</v>
      </c>
    </row>
    <row r="1225" spans="1:10" ht="48">
      <c r="A1225" s="1">
        <v>2023</v>
      </c>
      <c r="B1225" s="1" t="s">
        <v>9</v>
      </c>
      <c r="C1225" s="1" t="s">
        <v>92</v>
      </c>
      <c r="D1225" s="1" t="s">
        <v>2299</v>
      </c>
      <c r="E1225" s="1" t="s">
        <v>2328</v>
      </c>
      <c r="F1225" s="1" t="s">
        <v>2329</v>
      </c>
      <c r="G1225" s="33">
        <v>0.25</v>
      </c>
      <c r="H1225" s="33">
        <v>7.0000000000000007E-2</v>
      </c>
      <c r="I1225" s="33">
        <v>7.0000000000000007E-2</v>
      </c>
      <c r="J1225" s="31" t="s">
        <v>2239</v>
      </c>
    </row>
    <row r="1226" spans="1:10" ht="48">
      <c r="A1226" s="1">
        <v>2023</v>
      </c>
      <c r="B1226" s="1" t="s">
        <v>9</v>
      </c>
      <c r="C1226" s="1" t="s">
        <v>92</v>
      </c>
      <c r="D1226" s="1" t="s">
        <v>2299</v>
      </c>
      <c r="E1226" s="1" t="s">
        <v>2326</v>
      </c>
      <c r="F1226" s="1" t="s">
        <v>2327</v>
      </c>
      <c r="G1226" s="33">
        <v>0.25</v>
      </c>
      <c r="H1226" s="33">
        <v>7.0000000000000007E-2</v>
      </c>
      <c r="I1226" s="33">
        <v>7.0000000000000007E-2</v>
      </c>
      <c r="J1226" s="31" t="s">
        <v>2239</v>
      </c>
    </row>
    <row r="1227" spans="1:10" ht="48">
      <c r="A1227" s="1">
        <v>2023</v>
      </c>
      <c r="B1227" s="1" t="s">
        <v>9</v>
      </c>
      <c r="C1227" s="1" t="s">
        <v>92</v>
      </c>
      <c r="D1227" s="1" t="s">
        <v>2299</v>
      </c>
      <c r="E1227" s="1" t="s">
        <v>2331</v>
      </c>
      <c r="F1227" s="1" t="s">
        <v>2332</v>
      </c>
      <c r="G1227" s="33">
        <v>0.25</v>
      </c>
      <c r="H1227" s="33">
        <v>0.06</v>
      </c>
      <c r="I1227" s="34">
        <v>1.9900000000000001E-2</v>
      </c>
      <c r="J1227" s="31" t="s">
        <v>2239</v>
      </c>
    </row>
    <row r="1228" spans="1:10" ht="48">
      <c r="A1228" s="1">
        <v>2023</v>
      </c>
      <c r="B1228" s="1" t="s">
        <v>9</v>
      </c>
      <c r="C1228" s="1" t="s">
        <v>92</v>
      </c>
      <c r="D1228" s="1" t="s">
        <v>2299</v>
      </c>
      <c r="E1228" s="1" t="s">
        <v>2331</v>
      </c>
      <c r="F1228" s="1" t="s">
        <v>2332</v>
      </c>
      <c r="G1228" s="33">
        <v>0.25</v>
      </c>
      <c r="H1228" s="33">
        <v>0.06</v>
      </c>
      <c r="I1228" s="34">
        <v>1.9900000000000001E-2</v>
      </c>
      <c r="J1228" s="31" t="s">
        <v>2239</v>
      </c>
    </row>
    <row r="1229" spans="1:10" ht="48">
      <c r="A1229" s="1">
        <v>2023</v>
      </c>
      <c r="B1229" s="1" t="s">
        <v>9</v>
      </c>
      <c r="C1229" s="1" t="s">
        <v>92</v>
      </c>
      <c r="D1229" s="1" t="s">
        <v>2299</v>
      </c>
      <c r="E1229" s="1" t="s">
        <v>2331</v>
      </c>
      <c r="F1229" s="1" t="s">
        <v>2332</v>
      </c>
      <c r="G1229" s="33">
        <v>0.25</v>
      </c>
      <c r="H1229" s="33">
        <v>0.06</v>
      </c>
      <c r="I1229" s="34">
        <v>1.9900000000000001E-2</v>
      </c>
      <c r="J1229" s="31" t="s">
        <v>2239</v>
      </c>
    </row>
    <row r="1230" spans="1:10" ht="48">
      <c r="A1230" s="1">
        <v>2023</v>
      </c>
      <c r="B1230" s="1" t="s">
        <v>9</v>
      </c>
      <c r="C1230" s="1" t="s">
        <v>92</v>
      </c>
      <c r="D1230" s="1" t="s">
        <v>2299</v>
      </c>
      <c r="E1230" s="1" t="s">
        <v>2331</v>
      </c>
      <c r="F1230" s="1" t="s">
        <v>2332</v>
      </c>
      <c r="G1230" s="33">
        <v>0.25</v>
      </c>
      <c r="H1230" s="33">
        <v>0.06</v>
      </c>
      <c r="I1230" s="34">
        <v>1.9900000000000001E-2</v>
      </c>
      <c r="J1230" s="31" t="s">
        <v>2239</v>
      </c>
    </row>
    <row r="1231" spans="1:10" ht="48">
      <c r="A1231" s="1">
        <v>2023</v>
      </c>
      <c r="B1231" s="1" t="s">
        <v>9</v>
      </c>
      <c r="C1231" s="1" t="s">
        <v>92</v>
      </c>
      <c r="D1231" s="1" t="s">
        <v>2299</v>
      </c>
      <c r="E1231" s="1" t="s">
        <v>2333</v>
      </c>
      <c r="F1231" s="1" t="s">
        <v>2332</v>
      </c>
      <c r="G1231" s="33">
        <v>0.25</v>
      </c>
      <c r="H1231" s="34">
        <v>0.06</v>
      </c>
      <c r="I1231" s="34">
        <v>1.9900000000000001E-2</v>
      </c>
      <c r="J1231" s="31" t="s">
        <v>2239</v>
      </c>
    </row>
    <row r="1232" spans="1:10" ht="48">
      <c r="A1232" s="1">
        <v>2023</v>
      </c>
      <c r="B1232" s="1" t="s">
        <v>9</v>
      </c>
      <c r="C1232" s="1" t="s">
        <v>92</v>
      </c>
      <c r="D1232" s="1" t="s">
        <v>2299</v>
      </c>
      <c r="E1232" s="1" t="s">
        <v>1723</v>
      </c>
      <c r="F1232" s="1" t="s">
        <v>2334</v>
      </c>
      <c r="G1232" s="33">
        <v>0.25</v>
      </c>
      <c r="H1232" s="33">
        <v>0</v>
      </c>
      <c r="I1232" s="34">
        <v>1.6899999999999998E-2</v>
      </c>
      <c r="J1232" s="31" t="s">
        <v>2239</v>
      </c>
    </row>
    <row r="1233" spans="1:10" ht="48">
      <c r="A1233" s="1">
        <v>2023</v>
      </c>
      <c r="B1233" s="1" t="s">
        <v>9</v>
      </c>
      <c r="C1233" s="1" t="s">
        <v>92</v>
      </c>
      <c r="D1233" s="1" t="s">
        <v>2299</v>
      </c>
      <c r="E1233" s="1" t="s">
        <v>2335</v>
      </c>
      <c r="F1233" s="1" t="s">
        <v>2336</v>
      </c>
      <c r="G1233" s="33">
        <v>0.25</v>
      </c>
      <c r="H1233" s="33">
        <v>0.12</v>
      </c>
      <c r="I1233" s="34">
        <v>0.13189999999999999</v>
      </c>
      <c r="J1233" s="31" t="s">
        <v>2239</v>
      </c>
    </row>
    <row r="1234" spans="1:10" ht="48">
      <c r="A1234" s="1">
        <v>2023</v>
      </c>
      <c r="B1234" s="1" t="s">
        <v>9</v>
      </c>
      <c r="C1234" s="1" t="s">
        <v>92</v>
      </c>
      <c r="D1234" s="1" t="s">
        <v>2299</v>
      </c>
      <c r="E1234" s="1" t="s">
        <v>2330</v>
      </c>
      <c r="F1234" s="1" t="s">
        <v>2337</v>
      </c>
      <c r="G1234" s="33">
        <v>0.25</v>
      </c>
      <c r="H1234" s="33">
        <v>0.12</v>
      </c>
      <c r="I1234" s="34">
        <v>0.13189999999999999</v>
      </c>
      <c r="J1234" s="31" t="s">
        <v>2239</v>
      </c>
    </row>
    <row r="1235" spans="1:10" ht="72">
      <c r="A1235" s="1">
        <v>2023</v>
      </c>
      <c r="B1235" s="1" t="s">
        <v>9</v>
      </c>
      <c r="C1235" s="1" t="s">
        <v>92</v>
      </c>
      <c r="D1235" s="1" t="s">
        <v>2338</v>
      </c>
      <c r="E1235" s="1" t="s">
        <v>2339</v>
      </c>
      <c r="F1235" s="1" t="s">
        <v>2340</v>
      </c>
      <c r="G1235" s="32">
        <v>0</v>
      </c>
      <c r="H1235" s="32">
        <v>0</v>
      </c>
      <c r="I1235" s="32">
        <v>0</v>
      </c>
      <c r="J1235" s="31" t="s">
        <v>2239</v>
      </c>
    </row>
    <row r="1236" spans="1:10" ht="72">
      <c r="A1236" s="1">
        <v>2023</v>
      </c>
      <c r="B1236" s="1" t="s">
        <v>9</v>
      </c>
      <c r="C1236" s="1" t="s">
        <v>92</v>
      </c>
      <c r="D1236" s="1" t="s">
        <v>2338</v>
      </c>
      <c r="E1236" s="1" t="s">
        <v>2339</v>
      </c>
      <c r="F1236" s="1" t="s">
        <v>2341</v>
      </c>
      <c r="G1236" s="32">
        <v>0</v>
      </c>
      <c r="H1236" s="32">
        <v>0</v>
      </c>
      <c r="I1236" s="32">
        <v>0</v>
      </c>
      <c r="J1236" s="31" t="s">
        <v>2239</v>
      </c>
    </row>
    <row r="1237" spans="1:10" ht="48">
      <c r="A1237" s="1">
        <v>2023</v>
      </c>
      <c r="B1237" s="1" t="s">
        <v>9</v>
      </c>
      <c r="C1237" s="1" t="s">
        <v>92</v>
      </c>
      <c r="D1237" s="1" t="s">
        <v>2338</v>
      </c>
      <c r="E1237" s="1" t="s">
        <v>2342</v>
      </c>
      <c r="F1237" s="1" t="s">
        <v>2343</v>
      </c>
      <c r="G1237" s="33">
        <v>1</v>
      </c>
      <c r="H1237" s="34">
        <v>0.25</v>
      </c>
      <c r="I1237" s="34">
        <v>0.16669999999999999</v>
      </c>
      <c r="J1237" s="31" t="s">
        <v>2239</v>
      </c>
    </row>
    <row r="1238" spans="1:10" ht="48">
      <c r="A1238" s="1">
        <v>2023</v>
      </c>
      <c r="B1238" s="1" t="s">
        <v>9</v>
      </c>
      <c r="C1238" s="1" t="s">
        <v>92</v>
      </c>
      <c r="D1238" s="1" t="s">
        <v>2338</v>
      </c>
      <c r="E1238" s="1" t="s">
        <v>2344</v>
      </c>
      <c r="F1238" s="1" t="s">
        <v>2345</v>
      </c>
      <c r="G1238" s="34">
        <v>1</v>
      </c>
      <c r="H1238" s="32">
        <v>0</v>
      </c>
      <c r="I1238" s="34">
        <v>0</v>
      </c>
      <c r="J1238" s="31" t="s">
        <v>2239</v>
      </c>
    </row>
    <row r="1239" spans="1:10" ht="48">
      <c r="A1239" s="1">
        <v>2023</v>
      </c>
      <c r="B1239" s="1" t="s">
        <v>9</v>
      </c>
      <c r="C1239" s="1" t="s">
        <v>92</v>
      </c>
      <c r="D1239" s="1" t="s">
        <v>2338</v>
      </c>
      <c r="E1239" s="1" t="s">
        <v>2346</v>
      </c>
      <c r="F1239" s="1" t="s">
        <v>2347</v>
      </c>
      <c r="G1239" s="33">
        <v>0.25</v>
      </c>
      <c r="H1239" s="33">
        <v>0.12</v>
      </c>
      <c r="I1239" s="34">
        <v>8.3299999999999999E-2</v>
      </c>
      <c r="J1239" s="31" t="s">
        <v>2239</v>
      </c>
    </row>
    <row r="1240" spans="1:10" ht="48">
      <c r="A1240" s="1">
        <v>2023</v>
      </c>
      <c r="B1240" s="1" t="s">
        <v>9</v>
      </c>
      <c r="C1240" s="1" t="s">
        <v>92</v>
      </c>
      <c r="D1240" s="1" t="s">
        <v>2338</v>
      </c>
      <c r="E1240" s="1" t="s">
        <v>2348</v>
      </c>
      <c r="F1240" s="1" t="s">
        <v>2347</v>
      </c>
      <c r="G1240" s="33">
        <v>0.25</v>
      </c>
      <c r="H1240" s="33">
        <v>0.12</v>
      </c>
      <c r="I1240" s="34">
        <v>8.3299999999999999E-2</v>
      </c>
      <c r="J1240" s="31" t="s">
        <v>2239</v>
      </c>
    </row>
    <row r="1241" spans="1:10" ht="48">
      <c r="A1241" s="1">
        <v>2023</v>
      </c>
      <c r="B1241" s="1" t="s">
        <v>9</v>
      </c>
      <c r="C1241" s="1" t="s">
        <v>92</v>
      </c>
      <c r="D1241" s="1" t="s">
        <v>2338</v>
      </c>
      <c r="E1241" s="1" t="s">
        <v>2349</v>
      </c>
      <c r="F1241" s="1" t="s">
        <v>2350</v>
      </c>
      <c r="G1241" s="33">
        <v>0.25</v>
      </c>
      <c r="H1241" s="35">
        <v>0</v>
      </c>
      <c r="I1241" s="34">
        <v>0</v>
      </c>
      <c r="J1241" s="31" t="s">
        <v>2239</v>
      </c>
    </row>
    <row r="1242" spans="1:10" ht="48">
      <c r="A1242" s="1">
        <v>2023</v>
      </c>
      <c r="B1242" s="1" t="s">
        <v>9</v>
      </c>
      <c r="C1242" s="1" t="s">
        <v>92</v>
      </c>
      <c r="D1242" s="1" t="s">
        <v>2338</v>
      </c>
      <c r="E1242" s="1" t="s">
        <v>2351</v>
      </c>
      <c r="F1242" s="1" t="s">
        <v>2350</v>
      </c>
      <c r="G1242" s="33">
        <v>0.25</v>
      </c>
      <c r="H1242" s="35">
        <v>0</v>
      </c>
      <c r="I1242" s="34">
        <v>0</v>
      </c>
      <c r="J1242" s="31" t="s">
        <v>2239</v>
      </c>
    </row>
    <row r="1243" spans="1:10" ht="48">
      <c r="A1243" s="1">
        <v>2023</v>
      </c>
      <c r="B1243" s="1" t="s">
        <v>9</v>
      </c>
      <c r="C1243" s="1" t="s">
        <v>92</v>
      </c>
      <c r="D1243" s="1" t="s">
        <v>2352</v>
      </c>
      <c r="E1243" s="1" t="s">
        <v>2353</v>
      </c>
      <c r="F1243" s="1" t="s">
        <v>2354</v>
      </c>
      <c r="G1243" s="32">
        <v>0</v>
      </c>
      <c r="H1243" s="32">
        <v>0</v>
      </c>
      <c r="I1243" s="32">
        <v>0</v>
      </c>
      <c r="J1243" s="31" t="s">
        <v>2239</v>
      </c>
    </row>
    <row r="1244" spans="1:10" ht="48">
      <c r="A1244" s="1">
        <v>2023</v>
      </c>
      <c r="B1244" s="1" t="s">
        <v>9</v>
      </c>
      <c r="C1244" s="1" t="s">
        <v>92</v>
      </c>
      <c r="D1244" s="1" t="s">
        <v>2352</v>
      </c>
      <c r="E1244" s="1" t="s">
        <v>2355</v>
      </c>
      <c r="F1244" s="1" t="s">
        <v>2356</v>
      </c>
      <c r="G1244" s="32">
        <v>0</v>
      </c>
      <c r="H1244" s="32">
        <v>0</v>
      </c>
      <c r="I1244" s="32">
        <v>0</v>
      </c>
      <c r="J1244" s="31" t="s">
        <v>2239</v>
      </c>
    </row>
    <row r="1245" spans="1:10" ht="48">
      <c r="A1245" s="1">
        <v>2023</v>
      </c>
      <c r="B1245" s="1" t="s">
        <v>9</v>
      </c>
      <c r="C1245" s="1" t="s">
        <v>92</v>
      </c>
      <c r="D1245" s="1" t="s">
        <v>2352</v>
      </c>
      <c r="E1245" s="1" t="s">
        <v>2357</v>
      </c>
      <c r="F1245" s="1" t="s">
        <v>2358</v>
      </c>
      <c r="G1245" s="33">
        <v>1</v>
      </c>
      <c r="H1245" s="34">
        <v>0.25</v>
      </c>
      <c r="I1245" s="34">
        <v>0.41670000000000001</v>
      </c>
      <c r="J1245" s="31" t="s">
        <v>2239</v>
      </c>
    </row>
    <row r="1246" spans="1:10" ht="48">
      <c r="A1246" s="1">
        <v>2023</v>
      </c>
      <c r="B1246" s="1" t="s">
        <v>9</v>
      </c>
      <c r="C1246" s="1" t="s">
        <v>92</v>
      </c>
      <c r="D1246" s="1" t="s">
        <v>2352</v>
      </c>
      <c r="E1246" s="1" t="s">
        <v>2359</v>
      </c>
      <c r="F1246" s="1" t="s">
        <v>2360</v>
      </c>
      <c r="G1246" s="33">
        <v>1</v>
      </c>
      <c r="H1246" s="34">
        <v>0.25</v>
      </c>
      <c r="I1246" s="34">
        <v>8.3299999999999999E-2</v>
      </c>
      <c r="J1246" s="31" t="s">
        <v>2239</v>
      </c>
    </row>
    <row r="1247" spans="1:10" ht="48">
      <c r="A1247" s="1">
        <v>2023</v>
      </c>
      <c r="B1247" s="1" t="s">
        <v>9</v>
      </c>
      <c r="C1247" s="1" t="s">
        <v>92</v>
      </c>
      <c r="D1247" s="1" t="s">
        <v>2352</v>
      </c>
      <c r="E1247" s="1" t="s">
        <v>2361</v>
      </c>
      <c r="F1247" s="1" t="s">
        <v>1853</v>
      </c>
      <c r="G1247" s="33">
        <v>0.25</v>
      </c>
      <c r="H1247" s="33">
        <v>0.12</v>
      </c>
      <c r="I1247" s="34">
        <v>0.20830000000000001</v>
      </c>
      <c r="J1247" s="31" t="s">
        <v>2239</v>
      </c>
    </row>
    <row r="1248" spans="1:10" ht="48">
      <c r="A1248" s="1">
        <v>2023</v>
      </c>
      <c r="B1248" s="1" t="s">
        <v>9</v>
      </c>
      <c r="C1248" s="1" t="s">
        <v>92</v>
      </c>
      <c r="D1248" s="1" t="s">
        <v>2352</v>
      </c>
      <c r="E1248" s="1" t="s">
        <v>2362</v>
      </c>
      <c r="F1248" s="1" t="s">
        <v>1675</v>
      </c>
      <c r="G1248" s="33">
        <v>0.25</v>
      </c>
      <c r="H1248" s="33">
        <v>0.12</v>
      </c>
      <c r="I1248" s="34">
        <v>0.20830000000000001</v>
      </c>
      <c r="J1248" s="31" t="s">
        <v>2239</v>
      </c>
    </row>
    <row r="1249" spans="1:10" ht="48">
      <c r="A1249" s="1">
        <v>2023</v>
      </c>
      <c r="B1249" s="1" t="s">
        <v>9</v>
      </c>
      <c r="C1249" s="1" t="s">
        <v>92</v>
      </c>
      <c r="D1249" s="1" t="s">
        <v>2352</v>
      </c>
      <c r="E1249" s="1" t="s">
        <v>2363</v>
      </c>
      <c r="F1249" s="1" t="s">
        <v>2364</v>
      </c>
      <c r="G1249" s="33">
        <v>0.25</v>
      </c>
      <c r="H1249" s="33">
        <v>0.25</v>
      </c>
      <c r="I1249" s="34">
        <v>8.3299999999999999E-2</v>
      </c>
      <c r="J1249" s="31" t="s">
        <v>2239</v>
      </c>
    </row>
    <row r="1250" spans="1:10" ht="48">
      <c r="A1250" s="1">
        <v>2023</v>
      </c>
      <c r="B1250" s="1" t="s">
        <v>9</v>
      </c>
      <c r="C1250" s="1" t="s">
        <v>92</v>
      </c>
      <c r="D1250" s="1" t="s">
        <v>2365</v>
      </c>
      <c r="E1250" s="1" t="s">
        <v>2366</v>
      </c>
      <c r="F1250" s="1" t="s">
        <v>2367</v>
      </c>
      <c r="G1250" s="32">
        <v>0</v>
      </c>
      <c r="H1250" s="32">
        <v>0</v>
      </c>
      <c r="I1250" s="32">
        <v>0</v>
      </c>
      <c r="J1250" s="31" t="s">
        <v>2239</v>
      </c>
    </row>
    <row r="1251" spans="1:10" ht="48">
      <c r="A1251" s="1">
        <v>2023</v>
      </c>
      <c r="B1251" s="1" t="s">
        <v>9</v>
      </c>
      <c r="C1251" s="1" t="s">
        <v>92</v>
      </c>
      <c r="D1251" s="1" t="s">
        <v>2365</v>
      </c>
      <c r="E1251" s="1" t="s">
        <v>2368</v>
      </c>
      <c r="F1251" s="1" t="s">
        <v>2369</v>
      </c>
      <c r="G1251" s="32">
        <v>0</v>
      </c>
      <c r="H1251" s="32">
        <v>0</v>
      </c>
      <c r="I1251" s="32">
        <v>0</v>
      </c>
      <c r="J1251" s="31" t="s">
        <v>2239</v>
      </c>
    </row>
    <row r="1252" spans="1:10" ht="48">
      <c r="A1252" s="1">
        <v>2023</v>
      </c>
      <c r="B1252" s="1" t="s">
        <v>9</v>
      </c>
      <c r="C1252" s="1" t="s">
        <v>92</v>
      </c>
      <c r="D1252" s="1" t="s">
        <v>2365</v>
      </c>
      <c r="E1252" s="1" t="s">
        <v>2370</v>
      </c>
      <c r="F1252" s="1" t="s">
        <v>2371</v>
      </c>
      <c r="G1252" s="33">
        <v>1</v>
      </c>
      <c r="H1252" s="34">
        <v>0.24990000000000001</v>
      </c>
      <c r="I1252" s="34">
        <v>0</v>
      </c>
      <c r="J1252" s="31" t="s">
        <v>2239</v>
      </c>
    </row>
    <row r="1253" spans="1:10" ht="48">
      <c r="A1253" s="1">
        <v>2023</v>
      </c>
      <c r="B1253" s="1" t="s">
        <v>9</v>
      </c>
      <c r="C1253" s="1" t="s">
        <v>92</v>
      </c>
      <c r="D1253" s="1" t="s">
        <v>2365</v>
      </c>
      <c r="E1253" s="1" t="s">
        <v>2372</v>
      </c>
      <c r="F1253" s="1" t="s">
        <v>2373</v>
      </c>
      <c r="G1253" s="33">
        <v>1</v>
      </c>
      <c r="H1253" s="34">
        <v>0.28000000000000003</v>
      </c>
      <c r="I1253" s="34">
        <v>0</v>
      </c>
      <c r="J1253" s="31" t="s">
        <v>2239</v>
      </c>
    </row>
    <row r="1254" spans="1:10" ht="48">
      <c r="A1254" s="1">
        <v>2023</v>
      </c>
      <c r="B1254" s="1" t="s">
        <v>9</v>
      </c>
      <c r="C1254" s="1" t="s">
        <v>92</v>
      </c>
      <c r="D1254" s="1" t="s">
        <v>2365</v>
      </c>
      <c r="E1254" s="1" t="s">
        <v>2374</v>
      </c>
      <c r="F1254" s="1" t="s">
        <v>2375</v>
      </c>
      <c r="G1254" s="33">
        <v>0.25</v>
      </c>
      <c r="H1254" s="34">
        <v>4.99E-2</v>
      </c>
      <c r="I1254" s="34">
        <v>0</v>
      </c>
      <c r="J1254" s="31" t="s">
        <v>2239</v>
      </c>
    </row>
    <row r="1255" spans="1:10" ht="48">
      <c r="A1255" s="1">
        <v>2023</v>
      </c>
      <c r="B1255" s="1" t="s">
        <v>9</v>
      </c>
      <c r="C1255" s="1" t="s">
        <v>92</v>
      </c>
      <c r="D1255" s="1" t="s">
        <v>2365</v>
      </c>
      <c r="E1255" s="1" t="s">
        <v>2376</v>
      </c>
      <c r="F1255" s="1" t="s">
        <v>2377</v>
      </c>
      <c r="G1255" s="33">
        <v>0.25</v>
      </c>
      <c r="H1255" s="34">
        <v>4.99E-2</v>
      </c>
      <c r="I1255" s="34">
        <v>0</v>
      </c>
      <c r="J1255" s="31" t="s">
        <v>2239</v>
      </c>
    </row>
    <row r="1256" spans="1:10" ht="48">
      <c r="A1256" s="1">
        <v>2023</v>
      </c>
      <c r="B1256" s="1" t="s">
        <v>9</v>
      </c>
      <c r="C1256" s="1" t="s">
        <v>92</v>
      </c>
      <c r="D1256" s="1" t="s">
        <v>2365</v>
      </c>
      <c r="E1256" s="1" t="s">
        <v>2378</v>
      </c>
      <c r="F1256" s="1" t="s">
        <v>2379</v>
      </c>
      <c r="G1256" s="33">
        <v>0.25</v>
      </c>
      <c r="H1256" s="34">
        <v>4.99E-2</v>
      </c>
      <c r="I1256" s="34">
        <v>0</v>
      </c>
      <c r="J1256" s="31" t="s">
        <v>2239</v>
      </c>
    </row>
    <row r="1257" spans="1:10" ht="48">
      <c r="A1257" s="1">
        <v>2023</v>
      </c>
      <c r="B1257" s="1" t="s">
        <v>9</v>
      </c>
      <c r="C1257" s="1" t="s">
        <v>92</v>
      </c>
      <c r="D1257" s="1" t="s">
        <v>2365</v>
      </c>
      <c r="E1257" s="1" t="s">
        <v>2380</v>
      </c>
      <c r="F1257" s="1" t="s">
        <v>2381</v>
      </c>
      <c r="G1257" s="33">
        <v>0.25</v>
      </c>
      <c r="H1257" s="34">
        <v>4.99E-2</v>
      </c>
      <c r="I1257" s="34">
        <v>0</v>
      </c>
      <c r="J1257" s="31" t="s">
        <v>2239</v>
      </c>
    </row>
    <row r="1258" spans="1:10" ht="48">
      <c r="A1258" s="1">
        <v>2023</v>
      </c>
      <c r="B1258" s="1" t="s">
        <v>9</v>
      </c>
      <c r="C1258" s="1" t="s">
        <v>92</v>
      </c>
      <c r="D1258" s="1" t="s">
        <v>2365</v>
      </c>
      <c r="E1258" s="1" t="s">
        <v>2382</v>
      </c>
      <c r="F1258" s="1" t="s">
        <v>2383</v>
      </c>
      <c r="G1258" s="33">
        <v>0.25</v>
      </c>
      <c r="H1258" s="34">
        <v>4.99E-2</v>
      </c>
      <c r="I1258" s="34">
        <v>0</v>
      </c>
      <c r="J1258" s="31" t="s">
        <v>2239</v>
      </c>
    </row>
    <row r="1259" spans="1:10" ht="48">
      <c r="A1259" s="1">
        <v>2023</v>
      </c>
      <c r="B1259" s="1" t="s">
        <v>9</v>
      </c>
      <c r="C1259" s="1" t="s">
        <v>92</v>
      </c>
      <c r="D1259" s="1" t="s">
        <v>2365</v>
      </c>
      <c r="E1259" s="1" t="s">
        <v>2384</v>
      </c>
      <c r="F1259" s="1" t="s">
        <v>2385</v>
      </c>
      <c r="G1259" s="33">
        <v>0.25</v>
      </c>
      <c r="H1259" s="34">
        <v>0.14099999999999999</v>
      </c>
      <c r="I1259" s="34">
        <v>0</v>
      </c>
      <c r="J1259" s="31" t="s">
        <v>2239</v>
      </c>
    </row>
    <row r="1260" spans="1:10" ht="48">
      <c r="A1260" s="1">
        <v>2023</v>
      </c>
      <c r="B1260" s="1" t="s">
        <v>9</v>
      </c>
      <c r="C1260" s="1" t="s">
        <v>92</v>
      </c>
      <c r="D1260" s="1" t="s">
        <v>2365</v>
      </c>
      <c r="E1260" s="1" t="s">
        <v>2386</v>
      </c>
      <c r="F1260" s="1" t="s">
        <v>2387</v>
      </c>
      <c r="G1260" s="33">
        <v>0.25</v>
      </c>
      <c r="H1260" s="34">
        <v>0.14000000000000001</v>
      </c>
      <c r="I1260" s="34">
        <v>0</v>
      </c>
      <c r="J1260" s="31" t="s">
        <v>2239</v>
      </c>
    </row>
    <row r="1261" spans="1:10" ht="48">
      <c r="A1261" s="1">
        <v>2023</v>
      </c>
      <c r="B1261" s="1" t="s">
        <v>9</v>
      </c>
      <c r="C1261" s="1" t="s">
        <v>92</v>
      </c>
      <c r="D1261" s="1" t="s">
        <v>2388</v>
      </c>
      <c r="E1261" s="1" t="s">
        <v>2366</v>
      </c>
      <c r="F1261" s="1" t="s">
        <v>2367</v>
      </c>
      <c r="G1261" s="32">
        <v>0</v>
      </c>
      <c r="H1261" s="32">
        <v>0</v>
      </c>
      <c r="I1261" s="32">
        <v>0</v>
      </c>
      <c r="J1261" s="31" t="s">
        <v>2239</v>
      </c>
    </row>
    <row r="1262" spans="1:10" ht="48">
      <c r="A1262" s="1">
        <v>2023</v>
      </c>
      <c r="B1262" s="1" t="s">
        <v>9</v>
      </c>
      <c r="C1262" s="1" t="s">
        <v>92</v>
      </c>
      <c r="D1262" s="1" t="s">
        <v>2388</v>
      </c>
      <c r="E1262" s="1" t="s">
        <v>2368</v>
      </c>
      <c r="F1262" s="1" t="s">
        <v>2369</v>
      </c>
      <c r="G1262" s="32">
        <v>0</v>
      </c>
      <c r="H1262" s="32">
        <v>0</v>
      </c>
      <c r="I1262" s="32">
        <v>0</v>
      </c>
      <c r="J1262" s="31" t="s">
        <v>2239</v>
      </c>
    </row>
    <row r="1263" spans="1:10" ht="48">
      <c r="A1263" s="1">
        <v>2023</v>
      </c>
      <c r="B1263" s="1" t="s">
        <v>9</v>
      </c>
      <c r="C1263" s="1" t="s">
        <v>92</v>
      </c>
      <c r="D1263" s="1" t="s">
        <v>2388</v>
      </c>
      <c r="E1263" s="1" t="s">
        <v>2370</v>
      </c>
      <c r="F1263" s="1" t="s">
        <v>2371</v>
      </c>
      <c r="G1263" s="34">
        <v>1</v>
      </c>
      <c r="H1263" s="34">
        <v>0.24990000000000001</v>
      </c>
      <c r="I1263" s="34">
        <v>0.2273</v>
      </c>
      <c r="J1263" s="31" t="s">
        <v>2239</v>
      </c>
    </row>
    <row r="1264" spans="1:10" ht="48">
      <c r="A1264" s="1">
        <v>2023</v>
      </c>
      <c r="B1264" s="1" t="s">
        <v>9</v>
      </c>
      <c r="C1264" s="1" t="s">
        <v>92</v>
      </c>
      <c r="D1264" s="1" t="s">
        <v>2388</v>
      </c>
      <c r="E1264" s="1" t="s">
        <v>2372</v>
      </c>
      <c r="F1264" s="1" t="s">
        <v>2373</v>
      </c>
      <c r="G1264" s="33">
        <v>1</v>
      </c>
      <c r="H1264" s="34">
        <v>0.28999999999999998</v>
      </c>
      <c r="I1264" s="34">
        <v>0.41460000000000002</v>
      </c>
      <c r="J1264" s="31" t="s">
        <v>2239</v>
      </c>
    </row>
    <row r="1265" spans="1:10" ht="48">
      <c r="A1265" s="1">
        <v>2023</v>
      </c>
      <c r="B1265" s="1" t="s">
        <v>9</v>
      </c>
      <c r="C1265" s="1" t="s">
        <v>92</v>
      </c>
      <c r="D1265" s="1" t="s">
        <v>2388</v>
      </c>
      <c r="E1265" s="1" t="s">
        <v>2374</v>
      </c>
      <c r="F1265" s="1" t="s">
        <v>2375</v>
      </c>
      <c r="G1265" s="33">
        <v>0.25</v>
      </c>
      <c r="H1265" s="34">
        <v>4.99E-2</v>
      </c>
      <c r="I1265" s="34">
        <v>4.5400000000000003E-2</v>
      </c>
      <c r="J1265" s="31" t="s">
        <v>2239</v>
      </c>
    </row>
    <row r="1266" spans="1:10" ht="48">
      <c r="A1266" s="1">
        <v>2023</v>
      </c>
      <c r="B1266" s="1" t="s">
        <v>9</v>
      </c>
      <c r="C1266" s="1" t="s">
        <v>92</v>
      </c>
      <c r="D1266" s="1" t="s">
        <v>2388</v>
      </c>
      <c r="E1266" s="1" t="s">
        <v>2376</v>
      </c>
      <c r="F1266" s="1" t="s">
        <v>2377</v>
      </c>
      <c r="G1266" s="33">
        <v>0.25</v>
      </c>
      <c r="H1266" s="34">
        <v>4.99E-2</v>
      </c>
      <c r="I1266" s="34">
        <v>4.5400000000000003E-2</v>
      </c>
      <c r="J1266" s="31" t="s">
        <v>2239</v>
      </c>
    </row>
    <row r="1267" spans="1:10" ht="48">
      <c r="A1267" s="1">
        <v>2023</v>
      </c>
      <c r="B1267" s="1" t="s">
        <v>9</v>
      </c>
      <c r="C1267" s="1" t="s">
        <v>92</v>
      </c>
      <c r="D1267" s="1" t="s">
        <v>2388</v>
      </c>
      <c r="E1267" s="1" t="s">
        <v>2378</v>
      </c>
      <c r="F1267" s="1" t="s">
        <v>2379</v>
      </c>
      <c r="G1267" s="33">
        <v>0.25</v>
      </c>
      <c r="H1267" s="34">
        <v>4.99E-2</v>
      </c>
      <c r="I1267" s="34">
        <v>4.5400000000000003E-2</v>
      </c>
      <c r="J1267" s="31" t="s">
        <v>2239</v>
      </c>
    </row>
    <row r="1268" spans="1:10" ht="48">
      <c r="A1268" s="1">
        <v>2023</v>
      </c>
      <c r="B1268" s="1" t="s">
        <v>9</v>
      </c>
      <c r="C1268" s="1" t="s">
        <v>92</v>
      </c>
      <c r="D1268" s="1" t="s">
        <v>2388</v>
      </c>
      <c r="E1268" s="1" t="s">
        <v>2380</v>
      </c>
      <c r="F1268" s="1" t="s">
        <v>2381</v>
      </c>
      <c r="G1268" s="33">
        <v>0.25</v>
      </c>
      <c r="H1268" s="34">
        <v>4.99E-2</v>
      </c>
      <c r="I1268" s="34">
        <v>4.5400000000000003E-2</v>
      </c>
      <c r="J1268" s="31" t="s">
        <v>2239</v>
      </c>
    </row>
    <row r="1269" spans="1:10" ht="48">
      <c r="A1269" s="1">
        <v>2023</v>
      </c>
      <c r="B1269" s="1" t="s">
        <v>9</v>
      </c>
      <c r="C1269" s="1" t="s">
        <v>92</v>
      </c>
      <c r="D1269" s="1" t="s">
        <v>2388</v>
      </c>
      <c r="E1269" s="1" t="s">
        <v>2382</v>
      </c>
      <c r="F1269" s="1" t="s">
        <v>2383</v>
      </c>
      <c r="G1269" s="33">
        <v>0.25</v>
      </c>
      <c r="H1269" s="34">
        <v>4.99E-2</v>
      </c>
      <c r="I1269" s="34">
        <v>4.5400000000000003E-2</v>
      </c>
      <c r="J1269" s="31" t="s">
        <v>2239</v>
      </c>
    </row>
    <row r="1270" spans="1:10" ht="48">
      <c r="A1270" s="1">
        <v>2023</v>
      </c>
      <c r="B1270" s="1" t="s">
        <v>9</v>
      </c>
      <c r="C1270" s="1" t="s">
        <v>92</v>
      </c>
      <c r="D1270" s="1" t="s">
        <v>2388</v>
      </c>
      <c r="E1270" s="1" t="s">
        <v>2384</v>
      </c>
      <c r="F1270" s="1" t="s">
        <v>2385</v>
      </c>
      <c r="G1270" s="33">
        <v>0.25</v>
      </c>
      <c r="H1270" s="34">
        <v>0.1457</v>
      </c>
      <c r="I1270" s="34">
        <v>0.20730000000000001</v>
      </c>
      <c r="J1270" s="31" t="s">
        <v>2239</v>
      </c>
    </row>
    <row r="1271" spans="1:10" ht="48">
      <c r="A1271" s="1">
        <v>2023</v>
      </c>
      <c r="B1271" s="1" t="s">
        <v>9</v>
      </c>
      <c r="C1271" s="1" t="s">
        <v>92</v>
      </c>
      <c r="D1271" s="1" t="s">
        <v>2388</v>
      </c>
      <c r="E1271" s="1" t="s">
        <v>2386</v>
      </c>
      <c r="F1271" s="1" t="s">
        <v>2387</v>
      </c>
      <c r="G1271" s="33">
        <v>0.25</v>
      </c>
      <c r="H1271" s="34">
        <v>0.15</v>
      </c>
      <c r="I1271" s="34">
        <v>0.20730000000000001</v>
      </c>
      <c r="J1271" s="31" t="s">
        <v>2239</v>
      </c>
    </row>
    <row r="1272" spans="1:10" ht="48">
      <c r="A1272" s="1">
        <v>2023</v>
      </c>
      <c r="B1272" s="1" t="s">
        <v>9</v>
      </c>
      <c r="C1272" s="1" t="s">
        <v>92</v>
      </c>
      <c r="D1272" s="1" t="s">
        <v>2389</v>
      </c>
      <c r="E1272" s="1" t="s">
        <v>2366</v>
      </c>
      <c r="F1272" s="1" t="s">
        <v>2367</v>
      </c>
      <c r="G1272" s="32">
        <v>0</v>
      </c>
      <c r="H1272" s="32">
        <v>0</v>
      </c>
      <c r="I1272" s="32">
        <v>0</v>
      </c>
      <c r="J1272" s="31" t="s">
        <v>2239</v>
      </c>
    </row>
    <row r="1273" spans="1:10" ht="48">
      <c r="A1273" s="1">
        <v>2023</v>
      </c>
      <c r="B1273" s="1" t="s">
        <v>9</v>
      </c>
      <c r="C1273" s="1" t="s">
        <v>92</v>
      </c>
      <c r="D1273" s="1" t="s">
        <v>2389</v>
      </c>
      <c r="E1273" s="1" t="s">
        <v>2368</v>
      </c>
      <c r="F1273" s="1" t="s">
        <v>2369</v>
      </c>
      <c r="G1273" s="32">
        <v>0</v>
      </c>
      <c r="H1273" s="32">
        <v>0</v>
      </c>
      <c r="I1273" s="32">
        <v>0</v>
      </c>
      <c r="J1273" s="31" t="s">
        <v>2239</v>
      </c>
    </row>
    <row r="1274" spans="1:10" ht="48">
      <c r="A1274" s="1">
        <v>2023</v>
      </c>
      <c r="B1274" s="1" t="s">
        <v>9</v>
      </c>
      <c r="C1274" s="1" t="s">
        <v>92</v>
      </c>
      <c r="D1274" s="1" t="s">
        <v>2389</v>
      </c>
      <c r="E1274" s="1" t="s">
        <v>2370</v>
      </c>
      <c r="F1274" s="1" t="s">
        <v>2371</v>
      </c>
      <c r="G1274" s="34">
        <v>1</v>
      </c>
      <c r="H1274" s="34">
        <v>0.24990000000000001</v>
      </c>
      <c r="I1274" s="34">
        <v>0.2112</v>
      </c>
      <c r="J1274" s="31" t="s">
        <v>2239</v>
      </c>
    </row>
    <row r="1275" spans="1:10" ht="48">
      <c r="A1275" s="1">
        <v>2023</v>
      </c>
      <c r="B1275" s="1" t="s">
        <v>9</v>
      </c>
      <c r="C1275" s="1" t="s">
        <v>92</v>
      </c>
      <c r="D1275" s="1" t="s">
        <v>2389</v>
      </c>
      <c r="E1275" s="1" t="s">
        <v>2372</v>
      </c>
      <c r="F1275" s="1" t="s">
        <v>2373</v>
      </c>
      <c r="G1275" s="33">
        <v>1</v>
      </c>
      <c r="H1275" s="34">
        <v>0.33</v>
      </c>
      <c r="I1275" s="34">
        <v>0.40129999999999999</v>
      </c>
      <c r="J1275" s="31" t="s">
        <v>2239</v>
      </c>
    </row>
    <row r="1276" spans="1:10" ht="48">
      <c r="A1276" s="1">
        <v>2023</v>
      </c>
      <c r="B1276" s="1" t="s">
        <v>9</v>
      </c>
      <c r="C1276" s="1" t="s">
        <v>92</v>
      </c>
      <c r="D1276" s="1" t="s">
        <v>2389</v>
      </c>
      <c r="E1276" s="1" t="s">
        <v>2374</v>
      </c>
      <c r="F1276" s="1" t="s">
        <v>2375</v>
      </c>
      <c r="G1276" s="33">
        <v>0.25</v>
      </c>
      <c r="H1276" s="34">
        <v>4.99E-2</v>
      </c>
      <c r="I1276" s="34">
        <v>4.2200000000000001E-2</v>
      </c>
      <c r="J1276" s="31" t="s">
        <v>2239</v>
      </c>
    </row>
    <row r="1277" spans="1:10" ht="48">
      <c r="A1277" s="1">
        <v>2023</v>
      </c>
      <c r="B1277" s="1" t="s">
        <v>9</v>
      </c>
      <c r="C1277" s="1" t="s">
        <v>92</v>
      </c>
      <c r="D1277" s="1" t="s">
        <v>2389</v>
      </c>
      <c r="E1277" s="1" t="s">
        <v>2376</v>
      </c>
      <c r="F1277" s="1" t="s">
        <v>2377</v>
      </c>
      <c r="G1277" s="33">
        <v>0.25</v>
      </c>
      <c r="H1277" s="34">
        <v>4.99E-2</v>
      </c>
      <c r="I1277" s="34">
        <v>4.2200000000000001E-2</v>
      </c>
      <c r="J1277" s="31" t="s">
        <v>2239</v>
      </c>
    </row>
    <row r="1278" spans="1:10" ht="48">
      <c r="A1278" s="1">
        <v>2023</v>
      </c>
      <c r="B1278" s="1" t="s">
        <v>9</v>
      </c>
      <c r="C1278" s="1" t="s">
        <v>92</v>
      </c>
      <c r="D1278" s="1" t="s">
        <v>2389</v>
      </c>
      <c r="E1278" s="1" t="s">
        <v>2378</v>
      </c>
      <c r="F1278" s="1" t="s">
        <v>2379</v>
      </c>
      <c r="G1278" s="33">
        <v>0.25</v>
      </c>
      <c r="H1278" s="34">
        <v>4.99E-2</v>
      </c>
      <c r="I1278" s="34">
        <v>4.2200000000000001E-2</v>
      </c>
      <c r="J1278" s="31" t="s">
        <v>2239</v>
      </c>
    </row>
    <row r="1279" spans="1:10" ht="48">
      <c r="A1279" s="1">
        <v>2023</v>
      </c>
      <c r="B1279" s="1" t="s">
        <v>9</v>
      </c>
      <c r="C1279" s="1" t="s">
        <v>92</v>
      </c>
      <c r="D1279" s="1" t="s">
        <v>2389</v>
      </c>
      <c r="E1279" s="1" t="s">
        <v>2380</v>
      </c>
      <c r="F1279" s="1" t="s">
        <v>2381</v>
      </c>
      <c r="G1279" s="33">
        <v>0.25</v>
      </c>
      <c r="H1279" s="34">
        <v>4.99E-2</v>
      </c>
      <c r="I1279" s="34">
        <v>4.2200000000000001E-2</v>
      </c>
      <c r="J1279" s="31" t="s">
        <v>2239</v>
      </c>
    </row>
    <row r="1280" spans="1:10" ht="48">
      <c r="A1280" s="1">
        <v>2023</v>
      </c>
      <c r="B1280" s="1" t="s">
        <v>9</v>
      </c>
      <c r="C1280" s="1" t="s">
        <v>92</v>
      </c>
      <c r="D1280" s="1" t="s">
        <v>2389</v>
      </c>
      <c r="E1280" s="1" t="s">
        <v>2382</v>
      </c>
      <c r="F1280" s="1" t="s">
        <v>2383</v>
      </c>
      <c r="G1280" s="33">
        <v>0.25</v>
      </c>
      <c r="H1280" s="34">
        <v>4.99E-2</v>
      </c>
      <c r="I1280" s="34">
        <v>4.2200000000000001E-2</v>
      </c>
      <c r="J1280" s="31" t="s">
        <v>2239</v>
      </c>
    </row>
    <row r="1281" spans="1:10" ht="48">
      <c r="A1281" s="1">
        <v>2023</v>
      </c>
      <c r="B1281" s="1" t="s">
        <v>9</v>
      </c>
      <c r="C1281" s="1" t="s">
        <v>92</v>
      </c>
      <c r="D1281" s="1" t="s">
        <v>2389</v>
      </c>
      <c r="E1281" s="1" t="s">
        <v>2384</v>
      </c>
      <c r="F1281" s="1" t="s">
        <v>2385</v>
      </c>
      <c r="G1281" s="33">
        <v>0.25</v>
      </c>
      <c r="H1281" s="34">
        <v>0.16669999999999999</v>
      </c>
      <c r="I1281" s="34">
        <v>0.2006</v>
      </c>
      <c r="J1281" s="31" t="s">
        <v>2239</v>
      </c>
    </row>
    <row r="1282" spans="1:10" ht="48">
      <c r="A1282" s="1">
        <v>2023</v>
      </c>
      <c r="B1282" s="1" t="s">
        <v>9</v>
      </c>
      <c r="C1282" s="1" t="s">
        <v>92</v>
      </c>
      <c r="D1282" s="1" t="s">
        <v>2389</v>
      </c>
      <c r="E1282" s="1" t="s">
        <v>2386</v>
      </c>
      <c r="F1282" s="1" t="s">
        <v>2387</v>
      </c>
      <c r="G1282" s="33">
        <v>0.25</v>
      </c>
      <c r="H1282" s="34">
        <v>0.16669999999999999</v>
      </c>
      <c r="I1282" s="34">
        <v>0.2006</v>
      </c>
      <c r="J1282" s="31" t="s">
        <v>2239</v>
      </c>
    </row>
    <row r="1283" spans="1:10" ht="48">
      <c r="A1283" s="1">
        <v>2023</v>
      </c>
      <c r="B1283" s="1" t="s">
        <v>9</v>
      </c>
      <c r="C1283" s="1" t="s">
        <v>92</v>
      </c>
      <c r="D1283" s="1" t="s">
        <v>2390</v>
      </c>
      <c r="E1283" s="1" t="s">
        <v>2366</v>
      </c>
      <c r="F1283" s="1" t="s">
        <v>2367</v>
      </c>
      <c r="G1283" s="32">
        <v>0</v>
      </c>
      <c r="H1283" s="32">
        <v>0</v>
      </c>
      <c r="I1283" s="32">
        <v>0</v>
      </c>
      <c r="J1283" s="31" t="s">
        <v>2239</v>
      </c>
    </row>
    <row r="1284" spans="1:10" ht="48">
      <c r="A1284" s="1">
        <v>2023</v>
      </c>
      <c r="B1284" s="1" t="s">
        <v>9</v>
      </c>
      <c r="C1284" s="1" t="s">
        <v>92</v>
      </c>
      <c r="D1284" s="1" t="s">
        <v>2390</v>
      </c>
      <c r="E1284" s="1" t="s">
        <v>2368</v>
      </c>
      <c r="F1284" s="1" t="s">
        <v>2369</v>
      </c>
      <c r="G1284" s="32">
        <v>0</v>
      </c>
      <c r="H1284" s="32">
        <v>0</v>
      </c>
      <c r="I1284" s="32">
        <v>0</v>
      </c>
      <c r="J1284" s="31" t="s">
        <v>2239</v>
      </c>
    </row>
    <row r="1285" spans="1:10" ht="48">
      <c r="A1285" s="1">
        <v>2023</v>
      </c>
      <c r="B1285" s="1" t="s">
        <v>9</v>
      </c>
      <c r="C1285" s="1" t="s">
        <v>92</v>
      </c>
      <c r="D1285" s="1" t="s">
        <v>2390</v>
      </c>
      <c r="E1285" s="1" t="s">
        <v>2370</v>
      </c>
      <c r="F1285" s="1" t="s">
        <v>2371</v>
      </c>
      <c r="G1285" s="34">
        <v>1</v>
      </c>
      <c r="H1285" s="34">
        <v>0.24990000000000001</v>
      </c>
      <c r="I1285" s="34">
        <v>0.19769999999999999</v>
      </c>
      <c r="J1285" s="31" t="s">
        <v>2239</v>
      </c>
    </row>
    <row r="1286" spans="1:10" ht="48">
      <c r="A1286" s="1">
        <v>2023</v>
      </c>
      <c r="B1286" s="1" t="s">
        <v>9</v>
      </c>
      <c r="C1286" s="1" t="s">
        <v>92</v>
      </c>
      <c r="D1286" s="1" t="s">
        <v>2390</v>
      </c>
      <c r="E1286" s="1" t="s">
        <v>2372</v>
      </c>
      <c r="F1286" s="1" t="s">
        <v>2373</v>
      </c>
      <c r="G1286" s="34">
        <v>1</v>
      </c>
      <c r="H1286" s="34">
        <v>0.33</v>
      </c>
      <c r="I1286" s="34">
        <v>0.36370000000000002</v>
      </c>
      <c r="J1286" s="31" t="s">
        <v>2239</v>
      </c>
    </row>
    <row r="1287" spans="1:10" ht="48">
      <c r="A1287" s="1">
        <v>2023</v>
      </c>
      <c r="B1287" s="1" t="s">
        <v>9</v>
      </c>
      <c r="C1287" s="1" t="s">
        <v>92</v>
      </c>
      <c r="D1287" s="1" t="s">
        <v>2390</v>
      </c>
      <c r="E1287" s="1" t="s">
        <v>2374</v>
      </c>
      <c r="F1287" s="1" t="s">
        <v>2375</v>
      </c>
      <c r="G1287" s="33">
        <v>0.25</v>
      </c>
      <c r="H1287" s="34">
        <v>4.99E-2</v>
      </c>
      <c r="I1287" s="34">
        <v>3.9399999999999998E-2</v>
      </c>
      <c r="J1287" s="31" t="s">
        <v>2239</v>
      </c>
    </row>
    <row r="1288" spans="1:10" ht="48">
      <c r="A1288" s="1">
        <v>2023</v>
      </c>
      <c r="B1288" s="1" t="s">
        <v>9</v>
      </c>
      <c r="C1288" s="1" t="s">
        <v>92</v>
      </c>
      <c r="D1288" s="1" t="s">
        <v>2390</v>
      </c>
      <c r="E1288" s="1" t="s">
        <v>2376</v>
      </c>
      <c r="F1288" s="1" t="s">
        <v>2377</v>
      </c>
      <c r="G1288" s="33">
        <v>0.25</v>
      </c>
      <c r="H1288" s="34">
        <v>4.99E-2</v>
      </c>
      <c r="I1288" s="34">
        <v>3.9399999999999998E-2</v>
      </c>
      <c r="J1288" s="31" t="s">
        <v>2239</v>
      </c>
    </row>
    <row r="1289" spans="1:10" ht="48">
      <c r="A1289" s="1">
        <v>2023</v>
      </c>
      <c r="B1289" s="1" t="s">
        <v>9</v>
      </c>
      <c r="C1289" s="1" t="s">
        <v>92</v>
      </c>
      <c r="D1289" s="1" t="s">
        <v>2390</v>
      </c>
      <c r="E1289" s="1" t="s">
        <v>2378</v>
      </c>
      <c r="F1289" s="1" t="s">
        <v>2379</v>
      </c>
      <c r="G1289" s="33">
        <v>0.25</v>
      </c>
      <c r="H1289" s="34">
        <v>4.99E-2</v>
      </c>
      <c r="I1289" s="34">
        <v>3.9399999999999998E-2</v>
      </c>
      <c r="J1289" s="31" t="s">
        <v>2239</v>
      </c>
    </row>
    <row r="1290" spans="1:10" ht="48">
      <c r="A1290" s="1">
        <v>2023</v>
      </c>
      <c r="B1290" s="1" t="s">
        <v>9</v>
      </c>
      <c r="C1290" s="1" t="s">
        <v>92</v>
      </c>
      <c r="D1290" s="1" t="s">
        <v>2390</v>
      </c>
      <c r="E1290" s="1" t="s">
        <v>2380</v>
      </c>
      <c r="F1290" s="1" t="s">
        <v>2381</v>
      </c>
      <c r="G1290" s="33">
        <v>0.25</v>
      </c>
      <c r="H1290" s="34">
        <v>4.99E-2</v>
      </c>
      <c r="I1290" s="34">
        <v>3.9399999999999998E-2</v>
      </c>
      <c r="J1290" s="31" t="s">
        <v>2239</v>
      </c>
    </row>
    <row r="1291" spans="1:10" ht="48">
      <c r="A1291" s="1">
        <v>2023</v>
      </c>
      <c r="B1291" s="1" t="s">
        <v>9</v>
      </c>
      <c r="C1291" s="1" t="s">
        <v>92</v>
      </c>
      <c r="D1291" s="1" t="s">
        <v>2390</v>
      </c>
      <c r="E1291" s="1" t="s">
        <v>2382</v>
      </c>
      <c r="F1291" s="1" t="s">
        <v>2383</v>
      </c>
      <c r="G1291" s="33">
        <v>0.25</v>
      </c>
      <c r="H1291" s="34">
        <v>4.99E-2</v>
      </c>
      <c r="I1291" s="34">
        <v>3.9399999999999998E-2</v>
      </c>
      <c r="J1291" s="31" t="s">
        <v>2239</v>
      </c>
    </row>
    <row r="1292" spans="1:10" ht="48">
      <c r="A1292" s="1">
        <v>2023</v>
      </c>
      <c r="B1292" s="1" t="s">
        <v>9</v>
      </c>
      <c r="C1292" s="1" t="s">
        <v>92</v>
      </c>
      <c r="D1292" s="1" t="s">
        <v>2390</v>
      </c>
      <c r="E1292" s="1" t="s">
        <v>2384</v>
      </c>
      <c r="F1292" s="1" t="s">
        <v>2385</v>
      </c>
      <c r="G1292" s="33">
        <v>0.25</v>
      </c>
      <c r="H1292" s="34">
        <v>0.16259999999999999</v>
      </c>
      <c r="I1292" s="34">
        <v>0.18179999999999999</v>
      </c>
      <c r="J1292" s="31" t="s">
        <v>2239</v>
      </c>
    </row>
    <row r="1293" spans="1:10" ht="48">
      <c r="A1293" s="1">
        <v>2023</v>
      </c>
      <c r="B1293" s="1" t="s">
        <v>9</v>
      </c>
      <c r="C1293" s="1" t="s">
        <v>92</v>
      </c>
      <c r="D1293" s="1" t="s">
        <v>2390</v>
      </c>
      <c r="E1293" s="1" t="s">
        <v>2386</v>
      </c>
      <c r="F1293" s="1" t="s">
        <v>2387</v>
      </c>
      <c r="G1293" s="33">
        <v>0.25</v>
      </c>
      <c r="H1293" s="34">
        <v>0.16</v>
      </c>
      <c r="I1293" s="34">
        <v>0.18179999999999999</v>
      </c>
      <c r="J1293" s="31" t="s">
        <v>2239</v>
      </c>
    </row>
    <row r="1294" spans="1:10" ht="48">
      <c r="A1294" s="1">
        <v>2023</v>
      </c>
      <c r="B1294" s="1" t="s">
        <v>9</v>
      </c>
      <c r="C1294" s="1" t="s">
        <v>92</v>
      </c>
      <c r="D1294" s="1" t="s">
        <v>2391</v>
      </c>
      <c r="E1294" s="1" t="s">
        <v>2366</v>
      </c>
      <c r="F1294" s="1" t="s">
        <v>2367</v>
      </c>
      <c r="G1294" s="32">
        <v>0</v>
      </c>
      <c r="H1294" s="32">
        <v>0</v>
      </c>
      <c r="I1294" s="32">
        <v>0</v>
      </c>
      <c r="J1294" s="31" t="s">
        <v>2239</v>
      </c>
    </row>
    <row r="1295" spans="1:10" ht="48">
      <c r="A1295" s="1">
        <v>2023</v>
      </c>
      <c r="B1295" s="1" t="s">
        <v>9</v>
      </c>
      <c r="C1295" s="1" t="s">
        <v>92</v>
      </c>
      <c r="D1295" s="1" t="s">
        <v>2391</v>
      </c>
      <c r="E1295" s="1" t="s">
        <v>2368</v>
      </c>
      <c r="F1295" s="1" t="s">
        <v>2369</v>
      </c>
      <c r="G1295" s="32">
        <v>0</v>
      </c>
      <c r="H1295" s="32">
        <v>0</v>
      </c>
      <c r="I1295" s="32">
        <v>0</v>
      </c>
      <c r="J1295" s="31" t="s">
        <v>2239</v>
      </c>
    </row>
    <row r="1296" spans="1:10" ht="48">
      <c r="A1296" s="1">
        <v>2023</v>
      </c>
      <c r="B1296" s="1" t="s">
        <v>9</v>
      </c>
      <c r="C1296" s="1" t="s">
        <v>92</v>
      </c>
      <c r="D1296" s="1" t="s">
        <v>2391</v>
      </c>
      <c r="E1296" s="1" t="s">
        <v>2370</v>
      </c>
      <c r="F1296" s="1" t="s">
        <v>2371</v>
      </c>
      <c r="G1296" s="34">
        <v>1</v>
      </c>
      <c r="H1296" s="34">
        <v>0.24990000000000001</v>
      </c>
      <c r="I1296" s="34">
        <v>0.19989999999999999</v>
      </c>
      <c r="J1296" s="31" t="s">
        <v>2239</v>
      </c>
    </row>
    <row r="1297" spans="1:10" ht="48">
      <c r="A1297" s="1">
        <v>2023</v>
      </c>
      <c r="B1297" s="1" t="s">
        <v>9</v>
      </c>
      <c r="C1297" s="1" t="s">
        <v>92</v>
      </c>
      <c r="D1297" s="1" t="s">
        <v>2391</v>
      </c>
      <c r="E1297" s="1" t="s">
        <v>2372</v>
      </c>
      <c r="F1297" s="1" t="s">
        <v>2373</v>
      </c>
      <c r="G1297" s="34">
        <v>1</v>
      </c>
      <c r="H1297" s="34">
        <v>0.31</v>
      </c>
      <c r="I1297" s="34">
        <v>0.34139999999999998</v>
      </c>
      <c r="J1297" s="31" t="s">
        <v>2239</v>
      </c>
    </row>
    <row r="1298" spans="1:10" ht="48">
      <c r="A1298" s="1">
        <v>2023</v>
      </c>
      <c r="B1298" s="1" t="s">
        <v>9</v>
      </c>
      <c r="C1298" s="1" t="s">
        <v>92</v>
      </c>
      <c r="D1298" s="1" t="s">
        <v>2391</v>
      </c>
      <c r="E1298" s="1" t="s">
        <v>2374</v>
      </c>
      <c r="F1298" s="1" t="s">
        <v>2375</v>
      </c>
      <c r="G1298" s="33">
        <v>0.25</v>
      </c>
      <c r="H1298" s="34">
        <v>4.99E-2</v>
      </c>
      <c r="I1298" s="34">
        <v>3.9899999999999998E-2</v>
      </c>
      <c r="J1298" s="31" t="s">
        <v>2239</v>
      </c>
    </row>
    <row r="1299" spans="1:10" ht="48">
      <c r="A1299" s="1">
        <v>2023</v>
      </c>
      <c r="B1299" s="1" t="s">
        <v>9</v>
      </c>
      <c r="C1299" s="1" t="s">
        <v>92</v>
      </c>
      <c r="D1299" s="1" t="s">
        <v>2391</v>
      </c>
      <c r="E1299" s="1" t="s">
        <v>2376</v>
      </c>
      <c r="F1299" s="1" t="s">
        <v>2377</v>
      </c>
      <c r="G1299" s="33">
        <v>0.25</v>
      </c>
      <c r="H1299" s="34">
        <v>4.99E-2</v>
      </c>
      <c r="I1299" s="34">
        <v>3.9899999999999998E-2</v>
      </c>
      <c r="J1299" s="31" t="s">
        <v>2239</v>
      </c>
    </row>
    <row r="1300" spans="1:10" ht="48">
      <c r="A1300" s="1">
        <v>2023</v>
      </c>
      <c r="B1300" s="1" t="s">
        <v>9</v>
      </c>
      <c r="C1300" s="1" t="s">
        <v>92</v>
      </c>
      <c r="D1300" s="1" t="s">
        <v>2391</v>
      </c>
      <c r="E1300" s="1" t="s">
        <v>2378</v>
      </c>
      <c r="F1300" s="1" t="s">
        <v>2379</v>
      </c>
      <c r="G1300" s="33">
        <v>0.25</v>
      </c>
      <c r="H1300" s="34">
        <v>4.99E-2</v>
      </c>
      <c r="I1300" s="34">
        <v>3.9899999999999998E-2</v>
      </c>
      <c r="J1300" s="31" t="s">
        <v>2239</v>
      </c>
    </row>
    <row r="1301" spans="1:10" ht="48">
      <c r="A1301" s="1">
        <v>2023</v>
      </c>
      <c r="B1301" s="1" t="s">
        <v>9</v>
      </c>
      <c r="C1301" s="1" t="s">
        <v>92</v>
      </c>
      <c r="D1301" s="1" t="s">
        <v>2391</v>
      </c>
      <c r="E1301" s="1" t="s">
        <v>2380</v>
      </c>
      <c r="F1301" s="1" t="s">
        <v>2381</v>
      </c>
      <c r="G1301" s="33">
        <v>0.25</v>
      </c>
      <c r="H1301" s="34">
        <v>4.99E-2</v>
      </c>
      <c r="I1301" s="34">
        <v>3.9899999999999998E-2</v>
      </c>
      <c r="J1301" s="31" t="s">
        <v>2239</v>
      </c>
    </row>
    <row r="1302" spans="1:10" ht="48">
      <c r="A1302" s="1">
        <v>2023</v>
      </c>
      <c r="B1302" s="1" t="s">
        <v>9</v>
      </c>
      <c r="C1302" s="1" t="s">
        <v>92</v>
      </c>
      <c r="D1302" s="1" t="s">
        <v>2391</v>
      </c>
      <c r="E1302" s="1" t="s">
        <v>2382</v>
      </c>
      <c r="F1302" s="1" t="s">
        <v>2383</v>
      </c>
      <c r="G1302" s="33">
        <v>0.25</v>
      </c>
      <c r="H1302" s="34">
        <v>4.99E-2</v>
      </c>
      <c r="I1302" s="34">
        <v>3.9899999999999998E-2</v>
      </c>
      <c r="J1302" s="31" t="s">
        <v>2239</v>
      </c>
    </row>
    <row r="1303" spans="1:10" ht="48">
      <c r="A1303" s="1">
        <v>2023</v>
      </c>
      <c r="B1303" s="1" t="s">
        <v>9</v>
      </c>
      <c r="C1303" s="1" t="s">
        <v>92</v>
      </c>
      <c r="D1303" s="1" t="s">
        <v>2391</v>
      </c>
      <c r="E1303" s="1" t="s">
        <v>2384</v>
      </c>
      <c r="F1303" s="1" t="s">
        <v>2385</v>
      </c>
      <c r="G1303" s="33">
        <v>0.25</v>
      </c>
      <c r="H1303" s="34">
        <v>0.1547</v>
      </c>
      <c r="I1303" s="34">
        <v>0.17069999999999999</v>
      </c>
      <c r="J1303" s="31" t="s">
        <v>2239</v>
      </c>
    </row>
    <row r="1304" spans="1:10" ht="48">
      <c r="A1304" s="1">
        <v>2023</v>
      </c>
      <c r="B1304" s="1" t="s">
        <v>9</v>
      </c>
      <c r="C1304" s="1" t="s">
        <v>92</v>
      </c>
      <c r="D1304" s="1" t="s">
        <v>2391</v>
      </c>
      <c r="E1304" s="1" t="s">
        <v>2386</v>
      </c>
      <c r="F1304" s="1" t="s">
        <v>2387</v>
      </c>
      <c r="G1304" s="33">
        <v>0.25</v>
      </c>
      <c r="H1304" s="34">
        <v>0.1547</v>
      </c>
      <c r="I1304" s="34">
        <v>0.17069999999999999</v>
      </c>
      <c r="J1304" s="31" t="s">
        <v>2239</v>
      </c>
    </row>
    <row r="1305" spans="1:10" ht="48">
      <c r="A1305" s="1">
        <v>2023</v>
      </c>
      <c r="B1305" s="1" t="s">
        <v>9</v>
      </c>
      <c r="C1305" s="1" t="s">
        <v>92</v>
      </c>
      <c r="D1305" s="1" t="s">
        <v>2392</v>
      </c>
      <c r="E1305" s="1" t="s">
        <v>2366</v>
      </c>
      <c r="F1305" s="1" t="s">
        <v>2367</v>
      </c>
      <c r="G1305" s="32">
        <v>0</v>
      </c>
      <c r="H1305" s="32">
        <v>0</v>
      </c>
      <c r="I1305" s="32">
        <v>0</v>
      </c>
      <c r="J1305" s="31" t="s">
        <v>2239</v>
      </c>
    </row>
    <row r="1306" spans="1:10" ht="48">
      <c r="A1306" s="1">
        <v>2023</v>
      </c>
      <c r="B1306" s="1" t="s">
        <v>9</v>
      </c>
      <c r="C1306" s="1" t="s">
        <v>92</v>
      </c>
      <c r="D1306" s="1" t="s">
        <v>2392</v>
      </c>
      <c r="E1306" s="1" t="s">
        <v>2368</v>
      </c>
      <c r="F1306" s="1" t="s">
        <v>2369</v>
      </c>
      <c r="G1306" s="32">
        <v>0</v>
      </c>
      <c r="H1306" s="32">
        <v>0</v>
      </c>
      <c r="I1306" s="32">
        <v>0</v>
      </c>
      <c r="J1306" s="31" t="s">
        <v>2239</v>
      </c>
    </row>
    <row r="1307" spans="1:10" ht="48">
      <c r="A1307" s="1">
        <v>2023</v>
      </c>
      <c r="B1307" s="1" t="s">
        <v>9</v>
      </c>
      <c r="C1307" s="1" t="s">
        <v>92</v>
      </c>
      <c r="D1307" s="1" t="s">
        <v>2392</v>
      </c>
      <c r="E1307" s="1" t="s">
        <v>2370</v>
      </c>
      <c r="F1307" s="1" t="s">
        <v>2371</v>
      </c>
      <c r="G1307" s="34">
        <v>1</v>
      </c>
      <c r="H1307" s="30">
        <v>0.25</v>
      </c>
      <c r="I1307" s="30">
        <v>0.2283</v>
      </c>
      <c r="J1307" s="31" t="s">
        <v>2239</v>
      </c>
    </row>
    <row r="1308" spans="1:10" ht="48">
      <c r="A1308" s="1">
        <v>2023</v>
      </c>
      <c r="B1308" s="1" t="s">
        <v>9</v>
      </c>
      <c r="C1308" s="1" t="s">
        <v>92</v>
      </c>
      <c r="D1308" s="1" t="s">
        <v>2392</v>
      </c>
      <c r="E1308" s="1" t="s">
        <v>2372</v>
      </c>
      <c r="F1308" s="1" t="s">
        <v>2373</v>
      </c>
      <c r="G1308" s="34">
        <v>1</v>
      </c>
      <c r="H1308" s="34">
        <v>0.17</v>
      </c>
      <c r="I1308" s="34">
        <v>0.36220000000000002</v>
      </c>
      <c r="J1308" s="31" t="s">
        <v>2239</v>
      </c>
    </row>
    <row r="1309" spans="1:10" ht="48">
      <c r="A1309" s="1">
        <v>2023</v>
      </c>
      <c r="B1309" s="1" t="s">
        <v>9</v>
      </c>
      <c r="C1309" s="1" t="s">
        <v>92</v>
      </c>
      <c r="D1309" s="1" t="s">
        <v>2392</v>
      </c>
      <c r="E1309" s="1" t="s">
        <v>2374</v>
      </c>
      <c r="F1309" s="1" t="s">
        <v>2375</v>
      </c>
      <c r="G1309" s="33">
        <v>0.25</v>
      </c>
      <c r="H1309" s="34">
        <v>0.04</v>
      </c>
      <c r="I1309" s="34">
        <v>3.7999999999999999E-2</v>
      </c>
      <c r="J1309" s="31" t="s">
        <v>2239</v>
      </c>
    </row>
    <row r="1310" spans="1:10" ht="48">
      <c r="A1310" s="1">
        <v>2023</v>
      </c>
      <c r="B1310" s="1" t="s">
        <v>9</v>
      </c>
      <c r="C1310" s="1" t="s">
        <v>92</v>
      </c>
      <c r="D1310" s="1" t="s">
        <v>2392</v>
      </c>
      <c r="E1310" s="1" t="s">
        <v>2376</v>
      </c>
      <c r="F1310" s="1" t="s">
        <v>2377</v>
      </c>
      <c r="G1310" s="33">
        <v>0.25</v>
      </c>
      <c r="H1310" s="34">
        <v>0.04</v>
      </c>
      <c r="I1310" s="34">
        <v>3.7999999999999999E-2</v>
      </c>
      <c r="J1310" s="31" t="s">
        <v>2239</v>
      </c>
    </row>
    <row r="1311" spans="1:10" ht="48">
      <c r="A1311" s="1">
        <v>2023</v>
      </c>
      <c r="B1311" s="1" t="s">
        <v>9</v>
      </c>
      <c r="C1311" s="1" t="s">
        <v>92</v>
      </c>
      <c r="D1311" s="1" t="s">
        <v>2392</v>
      </c>
      <c r="E1311" s="1" t="s">
        <v>2378</v>
      </c>
      <c r="F1311" s="1" t="s">
        <v>2379</v>
      </c>
      <c r="G1311" s="33">
        <v>0.25</v>
      </c>
      <c r="H1311" s="34">
        <v>0.04</v>
      </c>
      <c r="I1311" s="34">
        <v>3.7999999999999999E-2</v>
      </c>
      <c r="J1311" s="31" t="s">
        <v>2239</v>
      </c>
    </row>
    <row r="1312" spans="1:10" ht="48">
      <c r="A1312" s="1">
        <v>2023</v>
      </c>
      <c r="B1312" s="1" t="s">
        <v>9</v>
      </c>
      <c r="C1312" s="1" t="s">
        <v>92</v>
      </c>
      <c r="D1312" s="1" t="s">
        <v>2392</v>
      </c>
      <c r="E1312" s="1" t="s">
        <v>2380</v>
      </c>
      <c r="F1312" s="1" t="s">
        <v>2381</v>
      </c>
      <c r="G1312" s="33">
        <v>0.25</v>
      </c>
      <c r="H1312" s="34">
        <v>0.04</v>
      </c>
      <c r="I1312" s="34">
        <v>3.7999999999999999E-2</v>
      </c>
      <c r="J1312" s="31" t="s">
        <v>2239</v>
      </c>
    </row>
    <row r="1313" spans="1:10" ht="48">
      <c r="A1313" s="1">
        <v>2023</v>
      </c>
      <c r="B1313" s="1" t="s">
        <v>9</v>
      </c>
      <c r="C1313" s="1" t="s">
        <v>92</v>
      </c>
      <c r="D1313" s="1" t="s">
        <v>2392</v>
      </c>
      <c r="E1313" s="1" t="s">
        <v>2382</v>
      </c>
      <c r="F1313" s="1" t="s">
        <v>2383</v>
      </c>
      <c r="G1313" s="33">
        <v>0.25</v>
      </c>
      <c r="H1313" s="34">
        <v>0.04</v>
      </c>
      <c r="I1313" s="34">
        <v>3.7999999999999999E-2</v>
      </c>
      <c r="J1313" s="31" t="s">
        <v>2239</v>
      </c>
    </row>
    <row r="1314" spans="1:10" ht="48">
      <c r="A1314" s="1">
        <v>2023</v>
      </c>
      <c r="B1314" s="1" t="s">
        <v>9</v>
      </c>
      <c r="C1314" s="1" t="s">
        <v>92</v>
      </c>
      <c r="D1314" s="1" t="s">
        <v>2392</v>
      </c>
      <c r="E1314" s="1" t="s">
        <v>2384</v>
      </c>
      <c r="F1314" s="1" t="s">
        <v>2387</v>
      </c>
      <c r="G1314" s="33">
        <v>0.25</v>
      </c>
      <c r="H1314" s="34">
        <v>0.04</v>
      </c>
      <c r="I1314" s="34">
        <v>3.7999999999999999E-2</v>
      </c>
      <c r="J1314" s="31" t="s">
        <v>2239</v>
      </c>
    </row>
    <row r="1315" spans="1:10" ht="48">
      <c r="A1315" s="1">
        <v>2023</v>
      </c>
      <c r="B1315" s="1" t="s">
        <v>9</v>
      </c>
      <c r="C1315" s="1" t="s">
        <v>92</v>
      </c>
      <c r="D1315" s="1" t="s">
        <v>2392</v>
      </c>
      <c r="E1315" s="1" t="s">
        <v>2386</v>
      </c>
      <c r="F1315" s="1" t="s">
        <v>2383</v>
      </c>
      <c r="G1315" s="33">
        <v>0.25</v>
      </c>
      <c r="H1315" s="33">
        <v>0.17</v>
      </c>
      <c r="I1315" s="34">
        <v>0.18110000000000001</v>
      </c>
      <c r="J1315" s="31" t="s">
        <v>2239</v>
      </c>
    </row>
    <row r="1316" spans="1:10" ht="48">
      <c r="A1316" s="1">
        <v>2023</v>
      </c>
      <c r="B1316" s="1" t="s">
        <v>9</v>
      </c>
      <c r="C1316" s="1" t="s">
        <v>92</v>
      </c>
      <c r="D1316" s="1" t="s">
        <v>2393</v>
      </c>
      <c r="E1316" s="36" t="s">
        <v>2366</v>
      </c>
      <c r="F1316" s="1" t="s">
        <v>2367</v>
      </c>
      <c r="G1316" s="33">
        <v>0.25</v>
      </c>
      <c r="H1316" s="33">
        <v>0.17</v>
      </c>
      <c r="I1316" s="33">
        <v>0.18110000000000001</v>
      </c>
      <c r="J1316" s="31" t="s">
        <v>2239</v>
      </c>
    </row>
    <row r="1317" spans="1:10" ht="48">
      <c r="A1317" s="1">
        <v>2023</v>
      </c>
      <c r="B1317" s="1" t="s">
        <v>9</v>
      </c>
      <c r="C1317" s="1" t="s">
        <v>92</v>
      </c>
      <c r="D1317" s="1" t="s">
        <v>2393</v>
      </c>
      <c r="E1317" s="37" t="s">
        <v>2368</v>
      </c>
      <c r="F1317" s="1" t="s">
        <v>2369</v>
      </c>
      <c r="G1317" s="32">
        <v>0</v>
      </c>
      <c r="H1317" s="32">
        <v>0</v>
      </c>
      <c r="I1317" s="32">
        <v>0</v>
      </c>
      <c r="J1317" s="31" t="s">
        <v>2239</v>
      </c>
    </row>
    <row r="1318" spans="1:10" ht="48">
      <c r="A1318" s="1">
        <v>2023</v>
      </c>
      <c r="B1318" s="1" t="s">
        <v>9</v>
      </c>
      <c r="C1318" s="1" t="s">
        <v>92</v>
      </c>
      <c r="D1318" s="1" t="s">
        <v>2393</v>
      </c>
      <c r="E1318" s="37" t="s">
        <v>2370</v>
      </c>
      <c r="F1318" s="1" t="s">
        <v>2371</v>
      </c>
      <c r="G1318" s="32">
        <v>0</v>
      </c>
      <c r="H1318" s="32">
        <v>0</v>
      </c>
      <c r="I1318" s="32">
        <v>0</v>
      </c>
      <c r="J1318" s="31" t="s">
        <v>2239</v>
      </c>
    </row>
    <row r="1319" spans="1:10" ht="48">
      <c r="A1319" s="1">
        <v>2023</v>
      </c>
      <c r="B1319" s="1" t="s">
        <v>9</v>
      </c>
      <c r="C1319" s="1" t="s">
        <v>92</v>
      </c>
      <c r="D1319" s="1" t="s">
        <v>2393</v>
      </c>
      <c r="E1319" s="37" t="s">
        <v>2372</v>
      </c>
      <c r="F1319" s="1" t="s">
        <v>2373</v>
      </c>
      <c r="G1319" s="33">
        <v>1</v>
      </c>
      <c r="H1319" s="34">
        <v>0.25</v>
      </c>
      <c r="I1319" s="34">
        <v>0.22620000000000001</v>
      </c>
      <c r="J1319" s="31" t="s">
        <v>2239</v>
      </c>
    </row>
    <row r="1320" spans="1:10" ht="48">
      <c r="A1320" s="1">
        <v>2023</v>
      </c>
      <c r="B1320" s="1" t="s">
        <v>9</v>
      </c>
      <c r="C1320" s="1" t="s">
        <v>92</v>
      </c>
      <c r="D1320" s="1" t="s">
        <v>2393</v>
      </c>
      <c r="E1320" s="37" t="s">
        <v>2374</v>
      </c>
      <c r="F1320" s="1" t="s">
        <v>2375</v>
      </c>
      <c r="G1320" s="33">
        <v>1</v>
      </c>
      <c r="H1320" s="34">
        <v>0.31</v>
      </c>
      <c r="I1320" s="34">
        <v>0.38150000000000001</v>
      </c>
      <c r="J1320" s="31" t="s">
        <v>2239</v>
      </c>
    </row>
    <row r="1321" spans="1:10" ht="48">
      <c r="A1321" s="1">
        <v>2023</v>
      </c>
      <c r="B1321" s="1" t="s">
        <v>9</v>
      </c>
      <c r="C1321" s="1" t="s">
        <v>92</v>
      </c>
      <c r="D1321" s="1" t="s">
        <v>2393</v>
      </c>
      <c r="E1321" s="37" t="s">
        <v>2376</v>
      </c>
      <c r="F1321" s="1" t="s">
        <v>2377</v>
      </c>
      <c r="G1321" s="33">
        <v>0.25</v>
      </c>
      <c r="H1321" s="34">
        <v>0.04</v>
      </c>
      <c r="I1321" s="34">
        <v>3.7699999999999997E-2</v>
      </c>
      <c r="J1321" s="31" t="s">
        <v>2239</v>
      </c>
    </row>
    <row r="1322" spans="1:10" ht="48">
      <c r="A1322" s="1">
        <v>2023</v>
      </c>
      <c r="B1322" s="1" t="s">
        <v>9</v>
      </c>
      <c r="C1322" s="1" t="s">
        <v>92</v>
      </c>
      <c r="D1322" s="1" t="s">
        <v>2393</v>
      </c>
      <c r="E1322" s="37" t="s">
        <v>2378</v>
      </c>
      <c r="F1322" s="1" t="s">
        <v>2379</v>
      </c>
      <c r="G1322" s="33">
        <v>0.25</v>
      </c>
      <c r="H1322" s="34">
        <v>0.04</v>
      </c>
      <c r="I1322" s="34">
        <v>3.7699999999999997E-2</v>
      </c>
      <c r="J1322" s="31" t="s">
        <v>2239</v>
      </c>
    </row>
    <row r="1323" spans="1:10" ht="48">
      <c r="A1323" s="1">
        <v>2023</v>
      </c>
      <c r="B1323" s="1" t="s">
        <v>9</v>
      </c>
      <c r="C1323" s="1" t="s">
        <v>92</v>
      </c>
      <c r="D1323" s="1" t="s">
        <v>2393</v>
      </c>
      <c r="E1323" s="37" t="s">
        <v>2380</v>
      </c>
      <c r="F1323" s="1" t="s">
        <v>2381</v>
      </c>
      <c r="G1323" s="33">
        <v>0.25</v>
      </c>
      <c r="H1323" s="34">
        <v>0.04</v>
      </c>
      <c r="I1323" s="34">
        <v>3.7699999999999997E-2</v>
      </c>
      <c r="J1323" s="31" t="s">
        <v>2239</v>
      </c>
    </row>
    <row r="1324" spans="1:10" ht="48">
      <c r="A1324" s="1">
        <v>2023</v>
      </c>
      <c r="B1324" s="1" t="s">
        <v>9</v>
      </c>
      <c r="C1324" s="1" t="s">
        <v>92</v>
      </c>
      <c r="D1324" s="1" t="s">
        <v>2393</v>
      </c>
      <c r="E1324" s="37" t="s">
        <v>2382</v>
      </c>
      <c r="F1324" s="1" t="s">
        <v>2383</v>
      </c>
      <c r="G1324" s="33">
        <v>0.25</v>
      </c>
      <c r="H1324" s="34">
        <v>0.04</v>
      </c>
      <c r="I1324" s="34">
        <v>3.7699999999999997E-2</v>
      </c>
      <c r="J1324" s="31" t="s">
        <v>2239</v>
      </c>
    </row>
    <row r="1325" spans="1:10" ht="48">
      <c r="A1325" s="1">
        <v>2023</v>
      </c>
      <c r="B1325" s="1" t="s">
        <v>9</v>
      </c>
      <c r="C1325" s="1" t="s">
        <v>92</v>
      </c>
      <c r="D1325" s="1" t="s">
        <v>2393</v>
      </c>
      <c r="E1325" s="37" t="s">
        <v>2384</v>
      </c>
      <c r="F1325" s="1" t="s">
        <v>2387</v>
      </c>
      <c r="G1325" s="33">
        <v>0.25</v>
      </c>
      <c r="H1325" s="34">
        <v>0.04</v>
      </c>
      <c r="I1325" s="34">
        <v>3.7699999999999997E-2</v>
      </c>
      <c r="J1325" s="31" t="s">
        <v>2239</v>
      </c>
    </row>
    <row r="1326" spans="1:10" ht="48">
      <c r="A1326" s="1">
        <v>2023</v>
      </c>
      <c r="B1326" s="1" t="s">
        <v>9</v>
      </c>
      <c r="C1326" s="1" t="s">
        <v>92</v>
      </c>
      <c r="D1326" s="1" t="s">
        <v>2393</v>
      </c>
      <c r="E1326" s="37" t="s">
        <v>2386</v>
      </c>
      <c r="F1326" s="1" t="s">
        <v>2394</v>
      </c>
      <c r="G1326" s="33">
        <v>0.25</v>
      </c>
      <c r="H1326" s="33">
        <v>0.04</v>
      </c>
      <c r="I1326" s="34">
        <v>3.7699999999999997E-2</v>
      </c>
      <c r="J1326" s="31" t="s">
        <v>2239</v>
      </c>
    </row>
    <row r="1327" spans="1:10" ht="48">
      <c r="A1327" s="1">
        <v>2023</v>
      </c>
      <c r="B1327" s="1" t="s">
        <v>9</v>
      </c>
      <c r="C1327" s="1" t="s">
        <v>92</v>
      </c>
      <c r="D1327" s="1" t="s">
        <v>2395</v>
      </c>
      <c r="E1327" s="1" t="s">
        <v>1387</v>
      </c>
      <c r="F1327" s="1" t="s">
        <v>2396</v>
      </c>
      <c r="G1327" s="33">
        <v>0.25</v>
      </c>
      <c r="H1327" s="33">
        <v>0.16</v>
      </c>
      <c r="I1327" s="34">
        <v>0.19969999999999999</v>
      </c>
      <c r="J1327" s="31" t="s">
        <v>2239</v>
      </c>
    </row>
    <row r="1328" spans="1:10" ht="60">
      <c r="A1328" s="1">
        <v>2023</v>
      </c>
      <c r="B1328" s="1" t="s">
        <v>9</v>
      </c>
      <c r="C1328" s="1" t="s">
        <v>92</v>
      </c>
      <c r="D1328" s="1" t="s">
        <v>2395</v>
      </c>
      <c r="E1328" s="1" t="s">
        <v>2397</v>
      </c>
      <c r="F1328" s="1" t="s">
        <v>2398</v>
      </c>
      <c r="G1328" s="33">
        <v>0.25</v>
      </c>
      <c r="H1328" s="34">
        <v>0.16</v>
      </c>
      <c r="I1328" s="34">
        <v>0.19969999999999999</v>
      </c>
      <c r="J1328" s="31" t="s">
        <v>2239</v>
      </c>
    </row>
    <row r="1329" spans="1:10" ht="48">
      <c r="A1329" s="1">
        <v>2023</v>
      </c>
      <c r="B1329" s="1" t="s">
        <v>9</v>
      </c>
      <c r="C1329" s="1" t="s">
        <v>92</v>
      </c>
      <c r="D1329" s="1" t="s">
        <v>2395</v>
      </c>
      <c r="E1329" s="1" t="s">
        <v>2399</v>
      </c>
      <c r="F1329" s="1" t="s">
        <v>2400</v>
      </c>
      <c r="G1329" s="32">
        <v>0</v>
      </c>
      <c r="H1329" s="32">
        <v>0</v>
      </c>
      <c r="I1329" s="32">
        <v>0</v>
      </c>
      <c r="J1329" s="31" t="s">
        <v>2239</v>
      </c>
    </row>
    <row r="1330" spans="1:10" ht="48">
      <c r="A1330" s="1">
        <v>2023</v>
      </c>
      <c r="B1330" s="1" t="s">
        <v>9</v>
      </c>
      <c r="C1330" s="1" t="s">
        <v>92</v>
      </c>
      <c r="D1330" s="1" t="s">
        <v>2395</v>
      </c>
      <c r="E1330" s="1" t="s">
        <v>2401</v>
      </c>
      <c r="F1330" s="1" t="s">
        <v>2402</v>
      </c>
      <c r="G1330" s="32">
        <v>0</v>
      </c>
      <c r="H1330" s="32">
        <v>0</v>
      </c>
      <c r="I1330" s="32">
        <v>0</v>
      </c>
      <c r="J1330" s="31" t="s">
        <v>2239</v>
      </c>
    </row>
    <row r="1331" spans="1:10" ht="48">
      <c r="A1331" s="1">
        <v>2023</v>
      </c>
      <c r="B1331" s="1" t="s">
        <v>9</v>
      </c>
      <c r="C1331" s="1" t="s">
        <v>92</v>
      </c>
      <c r="D1331" s="1" t="s">
        <v>2395</v>
      </c>
      <c r="E1331" s="1" t="s">
        <v>2403</v>
      </c>
      <c r="F1331" s="1" t="s">
        <v>2404</v>
      </c>
      <c r="G1331" s="33">
        <v>1</v>
      </c>
      <c r="H1331" s="34">
        <v>0.19</v>
      </c>
      <c r="I1331" s="34">
        <v>0.31730000000000003</v>
      </c>
      <c r="J1331" s="31" t="s">
        <v>2239</v>
      </c>
    </row>
    <row r="1332" spans="1:10" ht="48">
      <c r="A1332" s="1">
        <v>2023</v>
      </c>
      <c r="B1332" s="1" t="s">
        <v>9</v>
      </c>
      <c r="C1332" s="1" t="s">
        <v>92</v>
      </c>
      <c r="D1332" s="1" t="s">
        <v>2395</v>
      </c>
      <c r="E1332" s="1" t="s">
        <v>2405</v>
      </c>
      <c r="F1332" s="1" t="s">
        <v>2406</v>
      </c>
      <c r="G1332" s="33">
        <v>1</v>
      </c>
      <c r="H1332" s="34">
        <v>0</v>
      </c>
      <c r="I1332" s="34">
        <v>0</v>
      </c>
      <c r="J1332" s="31" t="s">
        <v>2239</v>
      </c>
    </row>
    <row r="1333" spans="1:10" ht="48">
      <c r="A1333" s="1">
        <v>2023</v>
      </c>
      <c r="B1333" s="1" t="s">
        <v>9</v>
      </c>
      <c r="C1333" s="1" t="s">
        <v>92</v>
      </c>
      <c r="D1333" s="1" t="s">
        <v>2395</v>
      </c>
      <c r="E1333" s="1" t="s">
        <v>2407</v>
      </c>
      <c r="F1333" s="1" t="s">
        <v>2408</v>
      </c>
      <c r="G1333" s="33">
        <v>0.25</v>
      </c>
      <c r="H1333" s="34">
        <v>0.06</v>
      </c>
      <c r="I1333" s="34">
        <v>0.1057</v>
      </c>
      <c r="J1333" s="31" t="s">
        <v>2239</v>
      </c>
    </row>
    <row r="1334" spans="1:10" ht="48">
      <c r="A1334" s="1">
        <v>2023</v>
      </c>
      <c r="B1334" s="1" t="s">
        <v>9</v>
      </c>
      <c r="C1334" s="1" t="s">
        <v>92</v>
      </c>
      <c r="D1334" s="1" t="s">
        <v>2395</v>
      </c>
      <c r="E1334" s="1" t="s">
        <v>2409</v>
      </c>
      <c r="F1334" s="1" t="s">
        <v>2410</v>
      </c>
      <c r="G1334" s="33">
        <v>0.25</v>
      </c>
      <c r="H1334" s="34">
        <v>0.06</v>
      </c>
      <c r="I1334" s="34">
        <v>0.1057</v>
      </c>
      <c r="J1334" s="31" t="s">
        <v>2239</v>
      </c>
    </row>
    <row r="1335" spans="1:10" ht="48">
      <c r="A1335" s="1">
        <v>2023</v>
      </c>
      <c r="B1335" s="1" t="s">
        <v>9</v>
      </c>
      <c r="C1335" s="1" t="s">
        <v>92</v>
      </c>
      <c r="D1335" s="1" t="s">
        <v>2411</v>
      </c>
      <c r="E1335" s="1" t="s">
        <v>2412</v>
      </c>
      <c r="F1335" s="1" t="s">
        <v>2398</v>
      </c>
      <c r="G1335" s="33">
        <v>0.25</v>
      </c>
      <c r="H1335" s="33">
        <v>0.06</v>
      </c>
      <c r="I1335" s="34">
        <v>0.1057</v>
      </c>
      <c r="J1335" s="31" t="s">
        <v>2239</v>
      </c>
    </row>
    <row r="1336" spans="1:10" ht="48">
      <c r="A1336" s="1">
        <v>2023</v>
      </c>
      <c r="B1336" s="1" t="s">
        <v>9</v>
      </c>
      <c r="C1336" s="1" t="s">
        <v>92</v>
      </c>
      <c r="D1336" s="1" t="s">
        <v>2411</v>
      </c>
      <c r="E1336" s="1" t="s">
        <v>2413</v>
      </c>
      <c r="F1336" s="1" t="s">
        <v>2398</v>
      </c>
      <c r="G1336" s="33">
        <v>0.25</v>
      </c>
      <c r="H1336" s="34">
        <v>0</v>
      </c>
      <c r="I1336" s="33">
        <v>0</v>
      </c>
      <c r="J1336" s="31" t="s">
        <v>2239</v>
      </c>
    </row>
    <row r="1337" spans="1:10" ht="48">
      <c r="A1337" s="1">
        <v>2023</v>
      </c>
      <c r="B1337" s="1" t="s">
        <v>9</v>
      </c>
      <c r="C1337" s="1" t="s">
        <v>92</v>
      </c>
      <c r="D1337" s="1" t="s">
        <v>2411</v>
      </c>
      <c r="E1337" s="1" t="s">
        <v>2414</v>
      </c>
      <c r="F1337" s="1" t="s">
        <v>2415</v>
      </c>
      <c r="G1337" s="33">
        <v>0</v>
      </c>
      <c r="H1337" s="32">
        <v>0</v>
      </c>
      <c r="I1337" s="34">
        <v>0</v>
      </c>
      <c r="J1337" s="31" t="s">
        <v>2239</v>
      </c>
    </row>
    <row r="1338" spans="1:10" ht="48">
      <c r="A1338" s="1">
        <v>2023</v>
      </c>
      <c r="B1338" s="1" t="s">
        <v>9</v>
      </c>
      <c r="C1338" s="1" t="s">
        <v>92</v>
      </c>
      <c r="D1338" s="1" t="s">
        <v>2411</v>
      </c>
      <c r="E1338" s="1" t="s">
        <v>2416</v>
      </c>
      <c r="F1338" s="1" t="s">
        <v>2417</v>
      </c>
      <c r="G1338" s="32">
        <v>0</v>
      </c>
      <c r="H1338" s="32">
        <v>0</v>
      </c>
      <c r="I1338" s="32">
        <v>0</v>
      </c>
      <c r="J1338" s="31" t="s">
        <v>2239</v>
      </c>
    </row>
    <row r="1339" spans="1:10" ht="48">
      <c r="A1339" s="1">
        <v>2023</v>
      </c>
      <c r="B1339" s="1" t="s">
        <v>9</v>
      </c>
      <c r="C1339" s="1" t="s">
        <v>92</v>
      </c>
      <c r="D1339" s="1" t="s">
        <v>2411</v>
      </c>
      <c r="E1339" s="1" t="s">
        <v>2418</v>
      </c>
      <c r="F1339" s="1" t="s">
        <v>2419</v>
      </c>
      <c r="G1339" s="32">
        <v>1</v>
      </c>
      <c r="H1339" s="34">
        <v>0.26</v>
      </c>
      <c r="I1339" s="34">
        <v>0.25340000000000001</v>
      </c>
      <c r="J1339" s="31" t="s">
        <v>2239</v>
      </c>
    </row>
    <row r="1340" spans="1:10" ht="72">
      <c r="A1340" s="1">
        <v>2023</v>
      </c>
      <c r="B1340" s="1" t="s">
        <v>9</v>
      </c>
      <c r="C1340" s="1" t="s">
        <v>92</v>
      </c>
      <c r="D1340" s="1" t="s">
        <v>2411</v>
      </c>
      <c r="E1340" s="1" t="s">
        <v>2420</v>
      </c>
      <c r="F1340" s="1" t="s">
        <v>2421</v>
      </c>
      <c r="G1340" s="32">
        <v>1</v>
      </c>
      <c r="H1340" s="34">
        <v>0.26</v>
      </c>
      <c r="I1340" s="34">
        <v>0.36990000000000001</v>
      </c>
      <c r="J1340" s="31" t="s">
        <v>2239</v>
      </c>
    </row>
    <row r="1341" spans="1:10" ht="48">
      <c r="A1341" s="1">
        <v>2023</v>
      </c>
      <c r="B1341" s="1" t="s">
        <v>9</v>
      </c>
      <c r="C1341" s="1" t="s">
        <v>92</v>
      </c>
      <c r="D1341" s="1" t="s">
        <v>2411</v>
      </c>
      <c r="E1341" s="1" t="s">
        <v>2422</v>
      </c>
      <c r="F1341" s="1" t="s">
        <v>2423</v>
      </c>
      <c r="G1341" s="32">
        <v>1</v>
      </c>
      <c r="H1341" s="34">
        <v>0.32</v>
      </c>
      <c r="I1341" s="34">
        <v>0.26290000000000002</v>
      </c>
      <c r="J1341" s="31" t="s">
        <v>2239</v>
      </c>
    </row>
    <row r="1342" spans="1:10" ht="48">
      <c r="A1342" s="1">
        <v>2023</v>
      </c>
      <c r="B1342" s="1" t="s">
        <v>9</v>
      </c>
      <c r="C1342" s="1" t="s">
        <v>92</v>
      </c>
      <c r="D1342" s="1" t="s">
        <v>2411</v>
      </c>
      <c r="E1342" s="1" t="s">
        <v>2424</v>
      </c>
      <c r="F1342" s="1" t="s">
        <v>2425</v>
      </c>
      <c r="G1342" s="32">
        <v>1</v>
      </c>
      <c r="H1342" s="34">
        <v>0.43</v>
      </c>
      <c r="I1342" s="34">
        <v>0.33539999999999998</v>
      </c>
      <c r="J1342" s="31" t="s">
        <v>2239</v>
      </c>
    </row>
    <row r="1343" spans="1:10" ht="48">
      <c r="A1343" s="1">
        <v>2023</v>
      </c>
      <c r="B1343" s="1" t="s">
        <v>9</v>
      </c>
      <c r="C1343" s="1" t="s">
        <v>92</v>
      </c>
      <c r="D1343" s="1" t="s">
        <v>2411</v>
      </c>
      <c r="E1343" s="1" t="s">
        <v>2422</v>
      </c>
      <c r="F1343" s="1" t="s">
        <v>2426</v>
      </c>
      <c r="G1343" s="33">
        <v>0.25</v>
      </c>
      <c r="H1343" s="34">
        <v>0.13</v>
      </c>
      <c r="I1343" s="34">
        <v>0.12670000000000001</v>
      </c>
      <c r="J1343" s="31" t="s">
        <v>2239</v>
      </c>
    </row>
    <row r="1344" spans="1:10" ht="48">
      <c r="A1344" s="1">
        <v>2023</v>
      </c>
      <c r="B1344" s="1" t="s">
        <v>9</v>
      </c>
      <c r="C1344" s="1" t="s">
        <v>92</v>
      </c>
      <c r="D1344" s="1" t="s">
        <v>2411</v>
      </c>
      <c r="E1344" s="1" t="s">
        <v>2424</v>
      </c>
      <c r="F1344" s="1" t="s">
        <v>2425</v>
      </c>
      <c r="G1344" s="33">
        <v>0.25</v>
      </c>
      <c r="H1344" s="34">
        <v>0.13</v>
      </c>
      <c r="I1344" s="34">
        <v>0.12670000000000001</v>
      </c>
      <c r="J1344" s="31" t="s">
        <v>2239</v>
      </c>
    </row>
    <row r="1345" spans="1:10" ht="48">
      <c r="A1345" s="1">
        <v>2023</v>
      </c>
      <c r="B1345" s="1" t="s">
        <v>9</v>
      </c>
      <c r="C1345" s="1" t="s">
        <v>92</v>
      </c>
      <c r="D1345" s="1" t="s">
        <v>2411</v>
      </c>
      <c r="E1345" s="1" t="s">
        <v>2427</v>
      </c>
      <c r="F1345" s="1" t="s">
        <v>2428</v>
      </c>
      <c r="G1345" s="33">
        <v>0.25</v>
      </c>
      <c r="H1345" s="34">
        <v>0.09</v>
      </c>
      <c r="I1345" s="34">
        <v>0.12330000000000001</v>
      </c>
      <c r="J1345" s="31" t="s">
        <v>2239</v>
      </c>
    </row>
    <row r="1346" spans="1:10" ht="48">
      <c r="A1346" s="1">
        <v>2023</v>
      </c>
      <c r="B1346" s="1" t="s">
        <v>9</v>
      </c>
      <c r="C1346" s="1" t="s">
        <v>92</v>
      </c>
      <c r="D1346" s="1" t="s">
        <v>2411</v>
      </c>
      <c r="E1346" s="1" t="s">
        <v>2422</v>
      </c>
      <c r="F1346" s="1" t="s">
        <v>2426</v>
      </c>
      <c r="G1346" s="33">
        <v>0.25</v>
      </c>
      <c r="H1346" s="33">
        <v>0.09</v>
      </c>
      <c r="I1346" s="34">
        <v>0.12330000000000001</v>
      </c>
      <c r="J1346" s="31" t="s">
        <v>2239</v>
      </c>
    </row>
    <row r="1347" spans="1:10" ht="48">
      <c r="A1347" s="1">
        <v>2023</v>
      </c>
      <c r="B1347" s="1" t="s">
        <v>9</v>
      </c>
      <c r="C1347" s="1" t="s">
        <v>92</v>
      </c>
      <c r="D1347" s="1" t="s">
        <v>2411</v>
      </c>
      <c r="E1347" s="1" t="s">
        <v>2429</v>
      </c>
      <c r="F1347" s="1" t="s">
        <v>2387</v>
      </c>
      <c r="G1347" s="33">
        <v>0.25</v>
      </c>
      <c r="H1347" s="33">
        <v>0.09</v>
      </c>
      <c r="I1347" s="34">
        <v>0.12330000000000001</v>
      </c>
      <c r="J1347" s="31" t="s">
        <v>2239</v>
      </c>
    </row>
    <row r="1348" spans="1:10" ht="48">
      <c r="A1348" s="1">
        <v>2023</v>
      </c>
      <c r="B1348" s="1" t="s">
        <v>9</v>
      </c>
      <c r="C1348" s="1" t="s">
        <v>92</v>
      </c>
      <c r="D1348" s="1" t="s">
        <v>2411</v>
      </c>
      <c r="E1348" s="1" t="s">
        <v>2424</v>
      </c>
      <c r="F1348" s="1" t="s">
        <v>2425</v>
      </c>
      <c r="G1348" s="33">
        <v>0.25</v>
      </c>
      <c r="H1348" s="34">
        <v>0.08</v>
      </c>
      <c r="I1348" s="34">
        <v>6.5699999999999995E-2</v>
      </c>
      <c r="J1348" s="31" t="s">
        <v>2239</v>
      </c>
    </row>
    <row r="1349" spans="1:10" ht="48">
      <c r="A1349" s="1">
        <v>2023</v>
      </c>
      <c r="B1349" s="1" t="s">
        <v>9</v>
      </c>
      <c r="C1349" s="1" t="s">
        <v>92</v>
      </c>
      <c r="D1349" s="1" t="s">
        <v>2411</v>
      </c>
      <c r="E1349" s="1" t="s">
        <v>2430</v>
      </c>
      <c r="F1349" s="1" t="s">
        <v>2431</v>
      </c>
      <c r="G1349" s="33">
        <v>0.25</v>
      </c>
      <c r="H1349" s="34">
        <v>0.08</v>
      </c>
      <c r="I1349" s="34">
        <v>6.5699999999999995E-2</v>
      </c>
      <c r="J1349" s="31" t="s">
        <v>2239</v>
      </c>
    </row>
    <row r="1350" spans="1:10" ht="48">
      <c r="A1350" s="1">
        <v>2023</v>
      </c>
      <c r="B1350" s="1" t="s">
        <v>9</v>
      </c>
      <c r="C1350" s="1" t="s">
        <v>92</v>
      </c>
      <c r="D1350" s="1" t="s">
        <v>2411</v>
      </c>
      <c r="E1350" s="1" t="s">
        <v>2432</v>
      </c>
      <c r="F1350" s="1" t="s">
        <v>2433</v>
      </c>
      <c r="G1350" s="33">
        <v>0.25</v>
      </c>
      <c r="H1350" s="34">
        <v>0.08</v>
      </c>
      <c r="I1350" s="34">
        <v>6.5699999999999995E-2</v>
      </c>
      <c r="J1350" s="31" t="s">
        <v>2239</v>
      </c>
    </row>
    <row r="1351" spans="1:10" ht="48">
      <c r="A1351" s="1">
        <v>2023</v>
      </c>
      <c r="B1351" s="1" t="s">
        <v>9</v>
      </c>
      <c r="C1351" s="1" t="s">
        <v>92</v>
      </c>
      <c r="D1351" s="1" t="s">
        <v>2411</v>
      </c>
      <c r="E1351" s="1" t="s">
        <v>2434</v>
      </c>
      <c r="F1351" s="1" t="s">
        <v>2435</v>
      </c>
      <c r="G1351" s="33">
        <v>0.25</v>
      </c>
      <c r="H1351" s="34">
        <v>0.08</v>
      </c>
      <c r="I1351" s="34">
        <v>6.5699999999999995E-2</v>
      </c>
      <c r="J1351" s="31" t="s">
        <v>2239</v>
      </c>
    </row>
    <row r="1352" spans="1:10" ht="48">
      <c r="A1352" s="1">
        <v>2023</v>
      </c>
      <c r="B1352" s="1" t="s">
        <v>9</v>
      </c>
      <c r="C1352" s="1" t="s">
        <v>92</v>
      </c>
      <c r="D1352" s="1" t="s">
        <v>2411</v>
      </c>
      <c r="E1352" s="1" t="s">
        <v>2436</v>
      </c>
      <c r="F1352" s="1" t="s">
        <v>2437</v>
      </c>
      <c r="G1352" s="33">
        <v>0.25</v>
      </c>
      <c r="H1352" s="33">
        <v>0.11</v>
      </c>
      <c r="I1352" s="34">
        <v>8.3799999999999999E-2</v>
      </c>
      <c r="J1352" s="31" t="s">
        <v>2239</v>
      </c>
    </row>
    <row r="1353" spans="1:10" ht="60">
      <c r="A1353" s="1">
        <v>2023</v>
      </c>
      <c r="B1353" s="1" t="s">
        <v>9</v>
      </c>
      <c r="C1353" s="1" t="s">
        <v>92</v>
      </c>
      <c r="D1353" s="1" t="s">
        <v>2411</v>
      </c>
      <c r="E1353" s="1" t="s">
        <v>2438</v>
      </c>
      <c r="F1353" s="1" t="s">
        <v>2439</v>
      </c>
      <c r="G1353" s="33">
        <v>0.25</v>
      </c>
      <c r="H1353" s="33">
        <v>0.11</v>
      </c>
      <c r="I1353" s="34">
        <v>8.3799999999999999E-2</v>
      </c>
      <c r="J1353" s="31" t="s">
        <v>2239</v>
      </c>
    </row>
    <row r="1354" spans="1:10" ht="48">
      <c r="A1354" s="1">
        <v>2023</v>
      </c>
      <c r="B1354" s="1" t="s">
        <v>9</v>
      </c>
      <c r="C1354" s="1" t="s">
        <v>92</v>
      </c>
      <c r="D1354" s="1" t="s">
        <v>2440</v>
      </c>
      <c r="E1354" s="22" t="s">
        <v>2442</v>
      </c>
      <c r="F1354" s="1" t="s">
        <v>2443</v>
      </c>
      <c r="G1354" s="33">
        <v>0.25</v>
      </c>
      <c r="H1354" s="33">
        <v>0.11</v>
      </c>
      <c r="I1354" s="34">
        <v>8.3799999999999999E-2</v>
      </c>
      <c r="J1354" s="31" t="s">
        <v>2239</v>
      </c>
    </row>
    <row r="1355" spans="1:10" ht="48">
      <c r="A1355" s="1">
        <v>2023</v>
      </c>
      <c r="B1355" s="1" t="s">
        <v>9</v>
      </c>
      <c r="C1355" s="1" t="s">
        <v>92</v>
      </c>
      <c r="D1355" s="1" t="s">
        <v>2440</v>
      </c>
      <c r="E1355" s="1" t="s">
        <v>2441</v>
      </c>
      <c r="F1355" s="1" t="s">
        <v>2443</v>
      </c>
      <c r="G1355" s="33">
        <v>0.25</v>
      </c>
      <c r="H1355" s="33">
        <v>0.11</v>
      </c>
      <c r="I1355" s="34">
        <v>8.3799999999999999E-2</v>
      </c>
      <c r="J1355" s="31" t="s">
        <v>2239</v>
      </c>
    </row>
    <row r="1356" spans="1:10" ht="72">
      <c r="A1356" s="1">
        <v>2023</v>
      </c>
      <c r="B1356" s="1" t="s">
        <v>9</v>
      </c>
      <c r="C1356" s="1" t="s">
        <v>92</v>
      </c>
      <c r="D1356" s="1" t="s">
        <v>2440</v>
      </c>
      <c r="E1356" s="22" t="s">
        <v>2444</v>
      </c>
      <c r="F1356" s="1" t="s">
        <v>2398</v>
      </c>
      <c r="G1356" s="32">
        <v>0</v>
      </c>
      <c r="H1356" s="32">
        <v>0</v>
      </c>
      <c r="I1356" s="32">
        <v>0</v>
      </c>
      <c r="J1356" s="31" t="s">
        <v>2239</v>
      </c>
    </row>
    <row r="1357" spans="1:10" ht="72">
      <c r="A1357" s="1">
        <v>2023</v>
      </c>
      <c r="B1357" s="1" t="s">
        <v>9</v>
      </c>
      <c r="C1357" s="1" t="s">
        <v>92</v>
      </c>
      <c r="D1357" s="1" t="s">
        <v>2440</v>
      </c>
      <c r="E1357" s="1" t="s">
        <v>2445</v>
      </c>
      <c r="F1357" s="1" t="s">
        <v>2446</v>
      </c>
      <c r="G1357" s="32">
        <v>0</v>
      </c>
      <c r="H1357" s="32">
        <v>0</v>
      </c>
      <c r="I1357" s="32">
        <v>0</v>
      </c>
      <c r="J1357" s="31" t="s">
        <v>2239</v>
      </c>
    </row>
    <row r="1358" spans="1:10" ht="48">
      <c r="A1358" s="1">
        <v>2023</v>
      </c>
      <c r="B1358" s="1" t="s">
        <v>9</v>
      </c>
      <c r="C1358" s="1" t="s">
        <v>92</v>
      </c>
      <c r="D1358" s="1" t="s">
        <v>2440</v>
      </c>
      <c r="E1358" s="22" t="s">
        <v>2447</v>
      </c>
      <c r="F1358" s="1" t="s">
        <v>2448</v>
      </c>
      <c r="G1358" s="33">
        <v>1</v>
      </c>
      <c r="H1358" s="33">
        <v>0.25</v>
      </c>
      <c r="I1358" s="34">
        <v>0</v>
      </c>
      <c r="J1358" s="31" t="s">
        <v>2239</v>
      </c>
    </row>
    <row r="1359" spans="1:10" ht="48">
      <c r="A1359" s="1">
        <v>2023</v>
      </c>
      <c r="B1359" s="1" t="s">
        <v>9</v>
      </c>
      <c r="C1359" s="1" t="s">
        <v>92</v>
      </c>
      <c r="D1359" s="1" t="s">
        <v>2440</v>
      </c>
      <c r="E1359" s="1" t="s">
        <v>2449</v>
      </c>
      <c r="F1359" s="1" t="s">
        <v>2450</v>
      </c>
      <c r="G1359" s="33">
        <v>1</v>
      </c>
      <c r="H1359" s="33">
        <v>0.25</v>
      </c>
      <c r="I1359" s="34">
        <v>0</v>
      </c>
      <c r="J1359" s="31" t="s">
        <v>2239</v>
      </c>
    </row>
    <row r="1360" spans="1:10" ht="48">
      <c r="A1360" s="1">
        <v>2023</v>
      </c>
      <c r="B1360" s="1" t="s">
        <v>9</v>
      </c>
      <c r="C1360" s="1" t="s">
        <v>92</v>
      </c>
      <c r="D1360" s="1" t="s">
        <v>2451</v>
      </c>
      <c r="E1360" s="22" t="s">
        <v>2453</v>
      </c>
      <c r="F1360" s="1" t="s">
        <v>1736</v>
      </c>
      <c r="G1360" s="33">
        <v>0.25</v>
      </c>
      <c r="H1360" s="33">
        <v>0.25</v>
      </c>
      <c r="I1360" s="34">
        <v>0</v>
      </c>
      <c r="J1360" s="31" t="s">
        <v>2239</v>
      </c>
    </row>
    <row r="1361" spans="1:10" ht="48">
      <c r="A1361" s="1">
        <v>2023</v>
      </c>
      <c r="B1361" s="1" t="s">
        <v>9</v>
      </c>
      <c r="C1361" s="1" t="s">
        <v>92</v>
      </c>
      <c r="D1361" s="1" t="s">
        <v>2451</v>
      </c>
      <c r="E1361" s="1" t="s">
        <v>2452</v>
      </c>
      <c r="F1361" s="1" t="s">
        <v>1736</v>
      </c>
      <c r="G1361" s="33">
        <v>0.25</v>
      </c>
      <c r="H1361" s="33">
        <v>0.25</v>
      </c>
      <c r="I1361" s="34">
        <v>0</v>
      </c>
      <c r="J1361" s="31" t="s">
        <v>2239</v>
      </c>
    </row>
    <row r="1362" spans="1:10" ht="48">
      <c r="A1362" s="1">
        <v>2023</v>
      </c>
      <c r="B1362" s="1" t="s">
        <v>9</v>
      </c>
      <c r="C1362" s="1" t="s">
        <v>92</v>
      </c>
      <c r="D1362" s="1" t="s">
        <v>2451</v>
      </c>
      <c r="E1362" s="22" t="s">
        <v>2454</v>
      </c>
      <c r="F1362" s="1" t="s">
        <v>1736</v>
      </c>
      <c r="G1362" s="32">
        <v>0</v>
      </c>
      <c r="H1362" s="32">
        <v>0</v>
      </c>
      <c r="I1362" s="32">
        <v>0</v>
      </c>
      <c r="J1362" s="31" t="s">
        <v>2239</v>
      </c>
    </row>
    <row r="1363" spans="1:10" ht="72">
      <c r="A1363" s="1">
        <v>2023</v>
      </c>
      <c r="B1363" s="1" t="s">
        <v>9</v>
      </c>
      <c r="C1363" s="1" t="s">
        <v>92</v>
      </c>
      <c r="D1363" s="1" t="s">
        <v>2451</v>
      </c>
      <c r="E1363" s="1" t="s">
        <v>2455</v>
      </c>
      <c r="F1363" s="1" t="s">
        <v>2456</v>
      </c>
      <c r="G1363" s="32">
        <v>0</v>
      </c>
      <c r="H1363" s="32">
        <v>0</v>
      </c>
      <c r="I1363" s="32">
        <v>0</v>
      </c>
      <c r="J1363" s="31" t="s">
        <v>2239</v>
      </c>
    </row>
    <row r="1364" spans="1:10" ht="48">
      <c r="A1364" s="1">
        <v>2023</v>
      </c>
      <c r="B1364" s="1" t="s">
        <v>9</v>
      </c>
      <c r="C1364" s="1" t="s">
        <v>92</v>
      </c>
      <c r="D1364" s="1" t="s">
        <v>2451</v>
      </c>
      <c r="E1364" s="22" t="s">
        <v>2457</v>
      </c>
      <c r="F1364" s="1" t="s">
        <v>2458</v>
      </c>
      <c r="G1364" s="33">
        <v>1</v>
      </c>
      <c r="H1364" s="33">
        <v>0.31</v>
      </c>
      <c r="I1364" s="34">
        <v>0.26050000000000001</v>
      </c>
      <c r="J1364" s="31" t="s">
        <v>2239</v>
      </c>
    </row>
    <row r="1365" spans="1:10" ht="48">
      <c r="A1365" s="1">
        <v>2023</v>
      </c>
      <c r="B1365" s="1" t="s">
        <v>9</v>
      </c>
      <c r="C1365" s="1" t="s">
        <v>92</v>
      </c>
      <c r="D1365" s="1" t="s">
        <v>2451</v>
      </c>
      <c r="E1365" s="1" t="s">
        <v>1457</v>
      </c>
      <c r="F1365" s="1" t="s">
        <v>2431</v>
      </c>
      <c r="G1365" s="33">
        <v>0</v>
      </c>
      <c r="H1365" s="33">
        <v>0.25</v>
      </c>
      <c r="I1365" s="34">
        <v>0.1</v>
      </c>
      <c r="J1365" s="31" t="s">
        <v>2239</v>
      </c>
    </row>
    <row r="1366" spans="1:10" ht="48">
      <c r="A1366" s="1">
        <v>2023</v>
      </c>
      <c r="B1366" s="1" t="s">
        <v>9</v>
      </c>
      <c r="C1366" s="1" t="s">
        <v>92</v>
      </c>
      <c r="D1366" s="1" t="s">
        <v>2451</v>
      </c>
      <c r="E1366" s="22" t="s">
        <v>975</v>
      </c>
      <c r="F1366" s="1" t="s">
        <v>2459</v>
      </c>
      <c r="G1366" s="33">
        <v>0.25</v>
      </c>
      <c r="H1366" s="33">
        <v>0.1</v>
      </c>
      <c r="I1366" s="34">
        <v>8.6800000000000002E-2</v>
      </c>
      <c r="J1366" s="31" t="s">
        <v>2239</v>
      </c>
    </row>
    <row r="1367" spans="1:10" ht="48">
      <c r="A1367" s="1">
        <v>2023</v>
      </c>
      <c r="B1367" s="1" t="s">
        <v>9</v>
      </c>
      <c r="C1367" s="1" t="s">
        <v>92</v>
      </c>
      <c r="D1367" s="1" t="s">
        <v>2451</v>
      </c>
      <c r="E1367" s="1" t="s">
        <v>1669</v>
      </c>
      <c r="F1367" s="1" t="s">
        <v>2460</v>
      </c>
      <c r="G1367" s="33">
        <v>0.25</v>
      </c>
      <c r="H1367" s="33">
        <v>0.1</v>
      </c>
      <c r="I1367" s="34">
        <v>8.6800000000000002E-2</v>
      </c>
      <c r="J1367" s="31" t="s">
        <v>2239</v>
      </c>
    </row>
    <row r="1368" spans="1:10" ht="48">
      <c r="A1368" s="1">
        <v>2023</v>
      </c>
      <c r="B1368" s="1" t="s">
        <v>9</v>
      </c>
      <c r="C1368" s="1" t="s">
        <v>92</v>
      </c>
      <c r="D1368" s="1" t="s">
        <v>2461</v>
      </c>
      <c r="E1368" s="22" t="s">
        <v>2462</v>
      </c>
      <c r="F1368" s="1" t="s">
        <v>2463</v>
      </c>
      <c r="G1368" s="33">
        <v>0.25</v>
      </c>
      <c r="H1368" s="34">
        <v>0.1</v>
      </c>
      <c r="I1368" s="34">
        <v>8.6800000000000002E-2</v>
      </c>
      <c r="J1368" s="31" t="s">
        <v>2239</v>
      </c>
    </row>
    <row r="1369" spans="1:10" ht="48">
      <c r="A1369" s="1">
        <v>2023</v>
      </c>
      <c r="B1369" s="1" t="s">
        <v>9</v>
      </c>
      <c r="C1369" s="1" t="s">
        <v>92</v>
      </c>
      <c r="D1369" s="1" t="s">
        <v>2461</v>
      </c>
      <c r="E1369" s="1" t="s">
        <v>2413</v>
      </c>
      <c r="F1369" s="1" t="s">
        <v>2463</v>
      </c>
      <c r="G1369" s="33">
        <v>0.25</v>
      </c>
      <c r="H1369" s="33">
        <v>0.25</v>
      </c>
      <c r="I1369" s="34">
        <v>0.1</v>
      </c>
      <c r="J1369" s="31" t="s">
        <v>2239</v>
      </c>
    </row>
    <row r="1370" spans="1:10" ht="120">
      <c r="A1370" s="1">
        <v>2023</v>
      </c>
      <c r="B1370" s="1" t="s">
        <v>9</v>
      </c>
      <c r="C1370" s="1" t="s">
        <v>92</v>
      </c>
      <c r="D1370" s="1" t="s">
        <v>2461</v>
      </c>
      <c r="E1370" s="22" t="s">
        <v>2464</v>
      </c>
      <c r="F1370" s="1" t="s">
        <v>2465</v>
      </c>
      <c r="G1370" s="32">
        <v>0</v>
      </c>
      <c r="H1370" s="32">
        <v>0</v>
      </c>
      <c r="I1370" s="32">
        <v>0</v>
      </c>
      <c r="J1370" s="31" t="s">
        <v>2239</v>
      </c>
    </row>
    <row r="1371" spans="1:10" ht="72">
      <c r="A1371" s="1">
        <v>2023</v>
      </c>
      <c r="B1371" s="1" t="s">
        <v>9</v>
      </c>
      <c r="C1371" s="1" t="s">
        <v>92</v>
      </c>
      <c r="D1371" s="1" t="s">
        <v>2461</v>
      </c>
      <c r="E1371" s="1" t="s">
        <v>2466</v>
      </c>
      <c r="F1371" s="1" t="s">
        <v>728</v>
      </c>
      <c r="G1371" s="32">
        <v>0</v>
      </c>
      <c r="H1371" s="32">
        <v>0</v>
      </c>
      <c r="I1371" s="32">
        <v>0</v>
      </c>
      <c r="J1371" s="31" t="s">
        <v>2239</v>
      </c>
    </row>
    <row r="1372" spans="1:10" ht="48">
      <c r="A1372" s="1">
        <v>2023</v>
      </c>
      <c r="B1372" s="1" t="s">
        <v>9</v>
      </c>
      <c r="C1372" s="1" t="s">
        <v>92</v>
      </c>
      <c r="D1372" s="1" t="s">
        <v>2461</v>
      </c>
      <c r="E1372" s="22" t="s">
        <v>2467</v>
      </c>
      <c r="F1372" s="1" t="s">
        <v>2394</v>
      </c>
      <c r="G1372" s="34">
        <v>1</v>
      </c>
      <c r="H1372" s="34">
        <v>0.22689999999999999</v>
      </c>
      <c r="I1372" s="34">
        <v>0.22420000000000001</v>
      </c>
      <c r="J1372" s="31" t="s">
        <v>2239</v>
      </c>
    </row>
    <row r="1373" spans="1:10" ht="48">
      <c r="A1373" s="1">
        <v>2023</v>
      </c>
      <c r="B1373" s="1" t="s">
        <v>9</v>
      </c>
      <c r="C1373" s="1" t="s">
        <v>92</v>
      </c>
      <c r="D1373" s="1" t="s">
        <v>2461</v>
      </c>
      <c r="E1373" s="1" t="s">
        <v>2468</v>
      </c>
      <c r="F1373" s="1" t="s">
        <v>2394</v>
      </c>
      <c r="G1373" s="34">
        <v>1</v>
      </c>
      <c r="H1373" s="34">
        <v>0.26729999999999998</v>
      </c>
      <c r="I1373" s="34">
        <v>0.80710000000000004</v>
      </c>
      <c r="J1373" s="31" t="s">
        <v>2239</v>
      </c>
    </row>
    <row r="1374" spans="1:10" ht="48">
      <c r="A1374" s="1">
        <v>2023</v>
      </c>
      <c r="B1374" s="1" t="s">
        <v>9</v>
      </c>
      <c r="C1374" s="1" t="s">
        <v>92</v>
      </c>
      <c r="D1374" s="1" t="s">
        <v>2461</v>
      </c>
      <c r="E1374" s="22" t="s">
        <v>2469</v>
      </c>
      <c r="F1374" s="1" t="s">
        <v>2470</v>
      </c>
      <c r="G1374" s="34">
        <v>0.25</v>
      </c>
      <c r="H1374" s="34">
        <v>2.52E-2</v>
      </c>
      <c r="I1374" s="34">
        <v>2.4899999999999999E-2</v>
      </c>
      <c r="J1374" s="31" t="s">
        <v>2239</v>
      </c>
    </row>
    <row r="1375" spans="1:10" ht="48">
      <c r="A1375" s="1">
        <v>2023</v>
      </c>
      <c r="B1375" s="1" t="s">
        <v>9</v>
      </c>
      <c r="C1375" s="1" t="s">
        <v>92</v>
      </c>
      <c r="D1375" s="1" t="s">
        <v>2461</v>
      </c>
      <c r="E1375" s="1" t="s">
        <v>2471</v>
      </c>
      <c r="F1375" s="1" t="s">
        <v>2394</v>
      </c>
      <c r="G1375" s="34">
        <v>0.25</v>
      </c>
      <c r="H1375" s="34">
        <v>2.52E-2</v>
      </c>
      <c r="I1375" s="34">
        <v>2.4899999999999999E-2</v>
      </c>
      <c r="J1375" s="31" t="s">
        <v>2239</v>
      </c>
    </row>
    <row r="1376" spans="1:10" ht="48">
      <c r="A1376" s="1">
        <v>2023</v>
      </c>
      <c r="B1376" s="1" t="s">
        <v>9</v>
      </c>
      <c r="C1376" s="1" t="s">
        <v>92</v>
      </c>
      <c r="D1376" s="1" t="s">
        <v>2461</v>
      </c>
      <c r="E1376" s="22" t="s">
        <v>2472</v>
      </c>
      <c r="F1376" s="1" t="s">
        <v>2473</v>
      </c>
      <c r="G1376" s="34">
        <v>0.25</v>
      </c>
      <c r="H1376" s="34">
        <v>2.52E-2</v>
      </c>
      <c r="I1376" s="34">
        <v>2.4899999999999999E-2</v>
      </c>
      <c r="J1376" s="31" t="s">
        <v>2239</v>
      </c>
    </row>
    <row r="1377" spans="1:10" ht="48">
      <c r="A1377" s="1">
        <v>2023</v>
      </c>
      <c r="B1377" s="1" t="s">
        <v>9</v>
      </c>
      <c r="C1377" s="1" t="s">
        <v>92</v>
      </c>
      <c r="D1377" s="1" t="s">
        <v>2461</v>
      </c>
      <c r="E1377" s="1" t="s">
        <v>2474</v>
      </c>
      <c r="F1377" s="1" t="s">
        <v>2473</v>
      </c>
      <c r="G1377" s="34">
        <v>0.25</v>
      </c>
      <c r="H1377" s="34">
        <v>2.52E-2</v>
      </c>
      <c r="I1377" s="34">
        <v>2.4899999999999999E-2</v>
      </c>
      <c r="J1377" s="31" t="s">
        <v>2239</v>
      </c>
    </row>
    <row r="1378" spans="1:10" ht="48">
      <c r="A1378" s="1">
        <v>2023</v>
      </c>
      <c r="B1378" s="1" t="s">
        <v>9</v>
      </c>
      <c r="C1378" s="1" t="s">
        <v>92</v>
      </c>
      <c r="D1378" s="1" t="s">
        <v>2461</v>
      </c>
      <c r="E1378" s="22" t="s">
        <v>2475</v>
      </c>
      <c r="F1378" s="1" t="s">
        <v>2473</v>
      </c>
      <c r="G1378" s="34">
        <v>0.25</v>
      </c>
      <c r="H1378" s="34">
        <v>2.52E-2</v>
      </c>
      <c r="I1378" s="34">
        <v>2.4899999999999999E-2</v>
      </c>
      <c r="J1378" s="31" t="s">
        <v>2239</v>
      </c>
    </row>
    <row r="1379" spans="1:10" ht="48">
      <c r="A1379" s="1">
        <v>2023</v>
      </c>
      <c r="B1379" s="1" t="s">
        <v>9</v>
      </c>
      <c r="C1379" s="1" t="s">
        <v>92</v>
      </c>
      <c r="D1379" s="1" t="s">
        <v>2461</v>
      </c>
      <c r="E1379" s="1" t="s">
        <v>2476</v>
      </c>
      <c r="F1379" s="1" t="s">
        <v>2394</v>
      </c>
      <c r="G1379" s="34">
        <v>0.25</v>
      </c>
      <c r="H1379" s="34">
        <v>2.52E-2</v>
      </c>
      <c r="I1379" s="34">
        <v>2.4899999999999999E-2</v>
      </c>
      <c r="J1379" s="31" t="s">
        <v>2239</v>
      </c>
    </row>
    <row r="1380" spans="1:10" ht="48">
      <c r="A1380" s="1">
        <v>2023</v>
      </c>
      <c r="B1380" s="1" t="s">
        <v>9</v>
      </c>
      <c r="C1380" s="1" t="s">
        <v>92</v>
      </c>
      <c r="D1380" s="1" t="s">
        <v>2461</v>
      </c>
      <c r="E1380" s="22" t="s">
        <v>2477</v>
      </c>
      <c r="F1380" s="1" t="s">
        <v>2394</v>
      </c>
      <c r="G1380" s="34">
        <v>0.25</v>
      </c>
      <c r="H1380" s="34">
        <v>2.52E-2</v>
      </c>
      <c r="I1380" s="34">
        <v>2.4899999999999999E-2</v>
      </c>
      <c r="J1380" s="31" t="s">
        <v>2239</v>
      </c>
    </row>
    <row r="1381" spans="1:10" ht="48">
      <c r="A1381" s="1">
        <v>2023</v>
      </c>
      <c r="B1381" s="1" t="s">
        <v>9</v>
      </c>
      <c r="C1381" s="1" t="s">
        <v>92</v>
      </c>
      <c r="D1381" s="1" t="s">
        <v>2461</v>
      </c>
      <c r="E1381" s="1" t="s">
        <v>2478</v>
      </c>
      <c r="F1381" s="1" t="s">
        <v>2479</v>
      </c>
      <c r="G1381" s="33">
        <v>0.25</v>
      </c>
      <c r="H1381" s="34">
        <v>2.52E-2</v>
      </c>
      <c r="I1381" s="34">
        <v>2.4899999999999999E-2</v>
      </c>
      <c r="J1381" s="31" t="s">
        <v>2239</v>
      </c>
    </row>
    <row r="1382" spans="1:10" ht="48">
      <c r="A1382" s="1">
        <v>2023</v>
      </c>
      <c r="B1382" s="1" t="s">
        <v>9</v>
      </c>
      <c r="C1382" s="1" t="s">
        <v>92</v>
      </c>
      <c r="D1382" s="1" t="s">
        <v>2461</v>
      </c>
      <c r="E1382" s="22" t="s">
        <v>2480</v>
      </c>
      <c r="F1382" s="1" t="s">
        <v>2481</v>
      </c>
      <c r="G1382" s="33">
        <v>0.25</v>
      </c>
      <c r="H1382" s="34">
        <v>2.52E-2</v>
      </c>
      <c r="I1382" s="34">
        <v>2.4899999999999999E-2</v>
      </c>
      <c r="J1382" s="31" t="s">
        <v>2239</v>
      </c>
    </row>
    <row r="1383" spans="1:10" ht="48">
      <c r="A1383" s="1">
        <v>2023</v>
      </c>
      <c r="B1383" s="1" t="s">
        <v>9</v>
      </c>
      <c r="C1383" s="1" t="s">
        <v>92</v>
      </c>
      <c r="D1383" s="1" t="s">
        <v>2482</v>
      </c>
      <c r="E1383" s="1" t="s">
        <v>2483</v>
      </c>
      <c r="F1383" s="1" t="s">
        <v>2473</v>
      </c>
      <c r="G1383" s="33">
        <v>0.25</v>
      </c>
      <c r="H1383" s="33">
        <v>0.1336</v>
      </c>
      <c r="I1383" s="34">
        <v>0.40350000000000003</v>
      </c>
      <c r="J1383" s="31" t="s">
        <v>2239</v>
      </c>
    </row>
    <row r="1384" spans="1:10" ht="48">
      <c r="A1384" s="1">
        <v>2023</v>
      </c>
      <c r="B1384" s="1" t="s">
        <v>9</v>
      </c>
      <c r="C1384" s="1" t="s">
        <v>92</v>
      </c>
      <c r="D1384" s="1" t="s">
        <v>2482</v>
      </c>
      <c r="E1384" s="22" t="s">
        <v>2413</v>
      </c>
      <c r="F1384" s="1" t="s">
        <v>2484</v>
      </c>
      <c r="G1384" s="33">
        <v>0.25</v>
      </c>
      <c r="H1384" s="33">
        <v>0.1336</v>
      </c>
      <c r="I1384" s="34">
        <v>0.40350000000000003</v>
      </c>
      <c r="J1384" s="31" t="s">
        <v>2239</v>
      </c>
    </row>
    <row r="1385" spans="1:10" ht="120">
      <c r="A1385" s="1">
        <v>2023</v>
      </c>
      <c r="B1385" s="1" t="s">
        <v>9</v>
      </c>
      <c r="C1385" s="1" t="s">
        <v>92</v>
      </c>
      <c r="D1385" s="1" t="s">
        <v>2482</v>
      </c>
      <c r="E1385" s="1" t="s">
        <v>2485</v>
      </c>
      <c r="F1385" s="1" t="s">
        <v>728</v>
      </c>
      <c r="G1385" s="32">
        <v>0</v>
      </c>
      <c r="H1385" s="32">
        <v>0</v>
      </c>
      <c r="I1385" s="32">
        <v>0</v>
      </c>
      <c r="J1385" s="31" t="s">
        <v>2239</v>
      </c>
    </row>
    <row r="1386" spans="1:10" ht="120">
      <c r="A1386" s="1">
        <v>2023</v>
      </c>
      <c r="B1386" s="1" t="s">
        <v>9</v>
      </c>
      <c r="C1386" s="1" t="s">
        <v>92</v>
      </c>
      <c r="D1386" s="1" t="s">
        <v>2482</v>
      </c>
      <c r="E1386" s="22" t="s">
        <v>2486</v>
      </c>
      <c r="F1386" s="1" t="s">
        <v>728</v>
      </c>
      <c r="G1386" s="32">
        <v>0</v>
      </c>
      <c r="H1386" s="32">
        <v>0</v>
      </c>
      <c r="I1386" s="32">
        <v>0</v>
      </c>
      <c r="J1386" s="31" t="s">
        <v>2239</v>
      </c>
    </row>
    <row r="1387" spans="1:10" ht="48">
      <c r="A1387" s="1">
        <v>2023</v>
      </c>
      <c r="B1387" s="1" t="s">
        <v>9</v>
      </c>
      <c r="C1387" s="1" t="s">
        <v>92</v>
      </c>
      <c r="D1387" s="1" t="s">
        <v>2482</v>
      </c>
      <c r="E1387" s="1" t="s">
        <v>2487</v>
      </c>
      <c r="F1387" s="1" t="s">
        <v>2473</v>
      </c>
      <c r="G1387" s="33">
        <v>1</v>
      </c>
      <c r="H1387" s="33">
        <v>0.13</v>
      </c>
      <c r="I1387" s="34">
        <v>0.3372</v>
      </c>
      <c r="J1387" s="31" t="s">
        <v>2239</v>
      </c>
    </row>
    <row r="1388" spans="1:10" ht="48">
      <c r="A1388" s="1">
        <v>2023</v>
      </c>
      <c r="B1388" s="1" t="s">
        <v>9</v>
      </c>
      <c r="C1388" s="1" t="s">
        <v>92</v>
      </c>
      <c r="D1388" s="1" t="s">
        <v>2482</v>
      </c>
      <c r="E1388" s="22" t="s">
        <v>2487</v>
      </c>
      <c r="F1388" s="1" t="s">
        <v>2473</v>
      </c>
      <c r="G1388" s="33">
        <v>1</v>
      </c>
      <c r="H1388" s="33">
        <v>0.03</v>
      </c>
      <c r="I1388" s="34">
        <v>0.43059999999999998</v>
      </c>
      <c r="J1388" s="31" t="s">
        <v>2239</v>
      </c>
    </row>
    <row r="1389" spans="1:10" ht="48">
      <c r="A1389" s="1">
        <v>2023</v>
      </c>
      <c r="B1389" s="1" t="s">
        <v>9</v>
      </c>
      <c r="C1389" s="1" t="s">
        <v>92</v>
      </c>
      <c r="D1389" s="1" t="s">
        <v>2482</v>
      </c>
      <c r="E1389" s="1" t="s">
        <v>2488</v>
      </c>
      <c r="F1389" s="1" t="s">
        <v>2489</v>
      </c>
      <c r="G1389" s="33">
        <v>0.25</v>
      </c>
      <c r="H1389" s="33">
        <v>0.04</v>
      </c>
      <c r="I1389" s="34">
        <v>0.1124</v>
      </c>
      <c r="J1389" s="31" t="s">
        <v>2239</v>
      </c>
    </row>
    <row r="1390" spans="1:10" ht="48">
      <c r="A1390" s="1">
        <v>2023</v>
      </c>
      <c r="B1390" s="1" t="s">
        <v>9</v>
      </c>
      <c r="C1390" s="1" t="s">
        <v>92</v>
      </c>
      <c r="D1390" s="1" t="s">
        <v>2482</v>
      </c>
      <c r="E1390" s="22" t="s">
        <v>2490</v>
      </c>
      <c r="F1390" s="1" t="s">
        <v>2473</v>
      </c>
      <c r="G1390" s="33">
        <v>0.25</v>
      </c>
      <c r="H1390" s="33">
        <v>0.04</v>
      </c>
      <c r="I1390" s="34">
        <v>0.1124</v>
      </c>
      <c r="J1390" s="31" t="s">
        <v>2239</v>
      </c>
    </row>
    <row r="1391" spans="1:10" ht="48">
      <c r="A1391" s="1">
        <v>2023</v>
      </c>
      <c r="B1391" s="1" t="s">
        <v>9</v>
      </c>
      <c r="C1391" s="1" t="s">
        <v>92</v>
      </c>
      <c r="D1391" s="1" t="s">
        <v>2482</v>
      </c>
      <c r="E1391" s="1" t="s">
        <v>2491</v>
      </c>
      <c r="F1391" s="1" t="s">
        <v>2473</v>
      </c>
      <c r="G1391" s="33">
        <v>0.25</v>
      </c>
      <c r="H1391" s="33">
        <v>0.04</v>
      </c>
      <c r="I1391" s="34">
        <v>0.1124</v>
      </c>
      <c r="J1391" s="31" t="s">
        <v>2239</v>
      </c>
    </row>
    <row r="1392" spans="1:10" ht="48">
      <c r="A1392" s="1">
        <v>2023</v>
      </c>
      <c r="B1392" s="1" t="s">
        <v>9</v>
      </c>
      <c r="C1392" s="1" t="s">
        <v>92</v>
      </c>
      <c r="D1392" s="1" t="s">
        <v>2492</v>
      </c>
      <c r="E1392" s="22" t="s">
        <v>2493</v>
      </c>
      <c r="F1392" s="1" t="s">
        <v>2394</v>
      </c>
      <c r="G1392" s="33">
        <v>0.25</v>
      </c>
      <c r="H1392" s="33">
        <v>0.01</v>
      </c>
      <c r="I1392" s="34">
        <v>0.21529999999999999</v>
      </c>
      <c r="J1392" s="31" t="s">
        <v>2239</v>
      </c>
    </row>
    <row r="1393" spans="1:10" ht="48">
      <c r="A1393" s="1">
        <v>2023</v>
      </c>
      <c r="B1393" s="1" t="s">
        <v>9</v>
      </c>
      <c r="C1393" s="1" t="s">
        <v>92</v>
      </c>
      <c r="D1393" s="1" t="s">
        <v>2492</v>
      </c>
      <c r="E1393" s="1" t="s">
        <v>2413</v>
      </c>
      <c r="F1393" s="1" t="s">
        <v>2484</v>
      </c>
      <c r="G1393" s="33">
        <v>0.25</v>
      </c>
      <c r="H1393" s="33">
        <v>0.01</v>
      </c>
      <c r="I1393" s="34">
        <v>0.21529999999999999</v>
      </c>
      <c r="J1393" s="31" t="s">
        <v>2239</v>
      </c>
    </row>
    <row r="1394" spans="1:10" ht="120">
      <c r="A1394" s="1">
        <v>2023</v>
      </c>
      <c r="B1394" s="1" t="s">
        <v>9</v>
      </c>
      <c r="C1394" s="1" t="s">
        <v>92</v>
      </c>
      <c r="D1394" s="1" t="s">
        <v>2492</v>
      </c>
      <c r="E1394" s="22" t="s">
        <v>2494</v>
      </c>
      <c r="F1394" s="1" t="s">
        <v>2495</v>
      </c>
      <c r="G1394" s="32">
        <v>0</v>
      </c>
      <c r="H1394" s="32">
        <v>0</v>
      </c>
      <c r="I1394" s="32">
        <v>0</v>
      </c>
      <c r="J1394" s="31" t="s">
        <v>2239</v>
      </c>
    </row>
    <row r="1395" spans="1:10" ht="120">
      <c r="A1395" s="1">
        <v>2023</v>
      </c>
      <c r="B1395" s="1" t="s">
        <v>9</v>
      </c>
      <c r="C1395" s="1" t="s">
        <v>92</v>
      </c>
      <c r="D1395" s="1" t="s">
        <v>2492</v>
      </c>
      <c r="E1395" s="1" t="s">
        <v>2496</v>
      </c>
      <c r="F1395" s="1" t="s">
        <v>2497</v>
      </c>
      <c r="G1395" s="32">
        <v>0</v>
      </c>
      <c r="H1395" s="32">
        <v>0</v>
      </c>
      <c r="I1395" s="32">
        <v>0</v>
      </c>
      <c r="J1395" s="31" t="s">
        <v>2239</v>
      </c>
    </row>
    <row r="1396" spans="1:10" ht="120">
      <c r="A1396" s="1">
        <v>2023</v>
      </c>
      <c r="B1396" s="1" t="s">
        <v>9</v>
      </c>
      <c r="C1396" s="1" t="s">
        <v>92</v>
      </c>
      <c r="D1396" s="1" t="s">
        <v>2492</v>
      </c>
      <c r="E1396" s="22" t="s">
        <v>2496</v>
      </c>
      <c r="F1396" s="1" t="s">
        <v>2498</v>
      </c>
      <c r="G1396" s="33">
        <v>1</v>
      </c>
      <c r="H1396" s="34">
        <v>0.25</v>
      </c>
      <c r="I1396" s="34">
        <v>0.2969</v>
      </c>
      <c r="J1396" s="31" t="s">
        <v>2239</v>
      </c>
    </row>
    <row r="1397" spans="1:10" ht="48">
      <c r="A1397" s="1">
        <v>2023</v>
      </c>
      <c r="B1397" s="1" t="s">
        <v>9</v>
      </c>
      <c r="C1397" s="1" t="s">
        <v>92</v>
      </c>
      <c r="D1397" s="1" t="s">
        <v>2492</v>
      </c>
      <c r="E1397" s="1" t="s">
        <v>2499</v>
      </c>
      <c r="F1397" s="1" t="s">
        <v>2500</v>
      </c>
      <c r="G1397" s="33">
        <v>1</v>
      </c>
      <c r="H1397" s="34">
        <v>0.23</v>
      </c>
      <c r="I1397" s="34">
        <v>0</v>
      </c>
      <c r="J1397" s="31" t="s">
        <v>2239</v>
      </c>
    </row>
    <row r="1398" spans="1:10" ht="48">
      <c r="A1398" s="1">
        <v>2023</v>
      </c>
      <c r="B1398" s="1" t="s">
        <v>9</v>
      </c>
      <c r="C1398" s="1" t="s">
        <v>92</v>
      </c>
      <c r="D1398" s="1" t="s">
        <v>2492</v>
      </c>
      <c r="E1398" s="22" t="s">
        <v>2501</v>
      </c>
      <c r="F1398" s="1" t="s">
        <v>2502</v>
      </c>
      <c r="G1398" s="33">
        <v>1</v>
      </c>
      <c r="H1398" s="33">
        <v>0.24</v>
      </c>
      <c r="I1398" s="34">
        <v>0.56259999999999999</v>
      </c>
      <c r="J1398" s="31" t="s">
        <v>2239</v>
      </c>
    </row>
    <row r="1399" spans="1:10" ht="48">
      <c r="A1399" s="1">
        <v>2023</v>
      </c>
      <c r="B1399" s="1" t="s">
        <v>9</v>
      </c>
      <c r="C1399" s="1" t="s">
        <v>92</v>
      </c>
      <c r="D1399" s="1" t="s">
        <v>2492</v>
      </c>
      <c r="E1399" s="1" t="s">
        <v>2503</v>
      </c>
      <c r="F1399" s="1" t="s">
        <v>2502</v>
      </c>
      <c r="G1399" s="33">
        <v>0.25</v>
      </c>
      <c r="H1399" s="33">
        <v>0.06</v>
      </c>
      <c r="I1399" s="34">
        <v>7.4200000000000002E-2</v>
      </c>
      <c r="J1399" s="31" t="s">
        <v>2239</v>
      </c>
    </row>
    <row r="1400" spans="1:10" ht="48">
      <c r="A1400" s="1">
        <v>2023</v>
      </c>
      <c r="B1400" s="1" t="s">
        <v>9</v>
      </c>
      <c r="C1400" s="1" t="s">
        <v>92</v>
      </c>
      <c r="D1400" s="1" t="s">
        <v>2492</v>
      </c>
      <c r="E1400" s="22" t="s">
        <v>2504</v>
      </c>
      <c r="F1400" s="1" t="s">
        <v>2394</v>
      </c>
      <c r="G1400" s="33">
        <v>0.25</v>
      </c>
      <c r="H1400" s="33">
        <v>0.06</v>
      </c>
      <c r="I1400" s="34">
        <v>7.4200000000000002E-2</v>
      </c>
      <c r="J1400" s="31" t="s">
        <v>2239</v>
      </c>
    </row>
    <row r="1401" spans="1:10" ht="48">
      <c r="A1401" s="1">
        <v>2023</v>
      </c>
      <c r="B1401" s="1" t="s">
        <v>9</v>
      </c>
      <c r="C1401" s="1" t="s">
        <v>92</v>
      </c>
      <c r="D1401" s="1" t="s">
        <v>2492</v>
      </c>
      <c r="E1401" s="1" t="s">
        <v>2505</v>
      </c>
      <c r="F1401" s="1" t="s">
        <v>2506</v>
      </c>
      <c r="G1401" s="33">
        <v>0.25</v>
      </c>
      <c r="H1401" s="33">
        <v>0.06</v>
      </c>
      <c r="I1401" s="34">
        <v>7.4200000000000002E-2</v>
      </c>
      <c r="J1401" s="31" t="s">
        <v>2239</v>
      </c>
    </row>
    <row r="1402" spans="1:10" ht="48">
      <c r="A1402" s="1">
        <v>2023</v>
      </c>
      <c r="B1402" s="1" t="s">
        <v>9</v>
      </c>
      <c r="C1402" s="1" t="s">
        <v>92</v>
      </c>
      <c r="D1402" s="1" t="s">
        <v>2492</v>
      </c>
      <c r="E1402" s="22" t="s">
        <v>2507</v>
      </c>
      <c r="F1402" s="1" t="s">
        <v>2502</v>
      </c>
      <c r="G1402" s="33">
        <v>0.25</v>
      </c>
      <c r="H1402" s="33">
        <v>0.06</v>
      </c>
      <c r="I1402" s="34">
        <v>7.4200000000000002E-2</v>
      </c>
      <c r="J1402" s="31" t="s">
        <v>2239</v>
      </c>
    </row>
    <row r="1403" spans="1:10" ht="48">
      <c r="A1403" s="1">
        <v>2023</v>
      </c>
      <c r="B1403" s="1" t="s">
        <v>9</v>
      </c>
      <c r="C1403" s="1" t="s">
        <v>92</v>
      </c>
      <c r="D1403" s="1" t="s">
        <v>2508</v>
      </c>
      <c r="E1403" s="1" t="s">
        <v>2509</v>
      </c>
      <c r="F1403" s="1" t="s">
        <v>2510</v>
      </c>
      <c r="G1403" s="33">
        <v>0.25</v>
      </c>
      <c r="H1403" s="34">
        <v>0.23</v>
      </c>
      <c r="I1403" s="34">
        <v>0</v>
      </c>
      <c r="J1403" s="31" t="s">
        <v>2239</v>
      </c>
    </row>
    <row r="1404" spans="1:10" ht="48">
      <c r="A1404" s="1">
        <v>2023</v>
      </c>
      <c r="B1404" s="1" t="s">
        <v>9</v>
      </c>
      <c r="C1404" s="1" t="s">
        <v>92</v>
      </c>
      <c r="D1404" s="1" t="s">
        <v>2508</v>
      </c>
      <c r="E1404" s="22" t="s">
        <v>2511</v>
      </c>
      <c r="F1404" s="1" t="s">
        <v>2510</v>
      </c>
      <c r="G1404" s="33">
        <v>0.25</v>
      </c>
      <c r="H1404" s="34">
        <v>0.24</v>
      </c>
      <c r="I1404" s="34">
        <v>0.56259999999999999</v>
      </c>
      <c r="J1404" s="31" t="s">
        <v>2239</v>
      </c>
    </row>
    <row r="1405" spans="1:10" ht="72">
      <c r="A1405" s="1">
        <v>2023</v>
      </c>
      <c r="B1405" s="1" t="s">
        <v>9</v>
      </c>
      <c r="C1405" s="1" t="s">
        <v>92</v>
      </c>
      <c r="D1405" s="1" t="s">
        <v>2508</v>
      </c>
      <c r="E1405" s="1" t="s">
        <v>2512</v>
      </c>
      <c r="F1405" s="1" t="s">
        <v>2513</v>
      </c>
      <c r="G1405" s="32">
        <v>0</v>
      </c>
      <c r="H1405" s="32">
        <v>0</v>
      </c>
      <c r="I1405" s="32">
        <v>0</v>
      </c>
      <c r="J1405" s="31" t="s">
        <v>2239</v>
      </c>
    </row>
    <row r="1406" spans="1:10" ht="84">
      <c r="A1406" s="1">
        <v>2023</v>
      </c>
      <c r="B1406" s="1" t="s">
        <v>9</v>
      </c>
      <c r="C1406" s="1" t="s">
        <v>92</v>
      </c>
      <c r="D1406" s="1" t="s">
        <v>2508</v>
      </c>
      <c r="E1406" s="22" t="s">
        <v>2514</v>
      </c>
      <c r="F1406" s="1" t="s">
        <v>2515</v>
      </c>
      <c r="G1406" s="32">
        <v>0</v>
      </c>
      <c r="H1406" s="32">
        <v>0</v>
      </c>
      <c r="I1406" s="32">
        <v>0</v>
      </c>
      <c r="J1406" s="31" t="s">
        <v>2239</v>
      </c>
    </row>
    <row r="1407" spans="1:10" ht="48">
      <c r="A1407" s="1">
        <v>2023</v>
      </c>
      <c r="B1407" s="1" t="s">
        <v>9</v>
      </c>
      <c r="C1407" s="1" t="s">
        <v>92</v>
      </c>
      <c r="D1407" s="1" t="s">
        <v>2508</v>
      </c>
      <c r="E1407" s="1" t="s">
        <v>2516</v>
      </c>
      <c r="F1407" s="1" t="s">
        <v>2517</v>
      </c>
      <c r="G1407" s="33">
        <v>1</v>
      </c>
      <c r="H1407" s="34">
        <v>0.28000000000000003</v>
      </c>
      <c r="I1407" s="34">
        <v>0.33329999999999999</v>
      </c>
      <c r="J1407" s="31" t="s">
        <v>2239</v>
      </c>
    </row>
    <row r="1408" spans="1:10" ht="48">
      <c r="A1408" s="1">
        <v>2023</v>
      </c>
      <c r="B1408" s="1" t="s">
        <v>9</v>
      </c>
      <c r="C1408" s="1" t="s">
        <v>92</v>
      </c>
      <c r="D1408" s="1" t="s">
        <v>2508</v>
      </c>
      <c r="E1408" s="22" t="s">
        <v>2518</v>
      </c>
      <c r="F1408" s="1" t="s">
        <v>2519</v>
      </c>
      <c r="G1408" s="33">
        <v>1</v>
      </c>
      <c r="H1408" s="33">
        <v>0.25</v>
      </c>
      <c r="I1408" s="34">
        <v>0.2392</v>
      </c>
      <c r="J1408" s="31" t="s">
        <v>2239</v>
      </c>
    </row>
    <row r="1409" spans="1:10" ht="48">
      <c r="A1409" s="1">
        <v>2023</v>
      </c>
      <c r="B1409" s="1" t="s">
        <v>9</v>
      </c>
      <c r="C1409" s="1" t="s">
        <v>92</v>
      </c>
      <c r="D1409" s="1" t="s">
        <v>2508</v>
      </c>
      <c r="E1409" s="1" t="s">
        <v>2520</v>
      </c>
      <c r="F1409" s="1" t="s">
        <v>2519</v>
      </c>
      <c r="G1409" s="33">
        <v>0.25</v>
      </c>
      <c r="H1409" s="33">
        <v>0.09</v>
      </c>
      <c r="I1409" s="34">
        <v>0.1111</v>
      </c>
      <c r="J1409" s="31" t="s">
        <v>2239</v>
      </c>
    </row>
    <row r="1410" spans="1:10" ht="48">
      <c r="A1410" s="1">
        <v>2023</v>
      </c>
      <c r="B1410" s="1" t="s">
        <v>9</v>
      </c>
      <c r="C1410" s="1" t="s">
        <v>92</v>
      </c>
      <c r="D1410" s="1" t="s">
        <v>2508</v>
      </c>
      <c r="E1410" s="22" t="s">
        <v>2521</v>
      </c>
      <c r="F1410" s="1" t="s">
        <v>2522</v>
      </c>
      <c r="G1410" s="33">
        <v>0.25</v>
      </c>
      <c r="H1410" s="33">
        <v>0.09</v>
      </c>
      <c r="I1410" s="34">
        <v>0.1111</v>
      </c>
      <c r="J1410" s="31" t="s">
        <v>2239</v>
      </c>
    </row>
    <row r="1411" spans="1:10" ht="48">
      <c r="A1411" s="1">
        <v>2023</v>
      </c>
      <c r="B1411" s="1" t="s">
        <v>9</v>
      </c>
      <c r="C1411" s="1" t="s">
        <v>92</v>
      </c>
      <c r="D1411" s="1" t="s">
        <v>2508</v>
      </c>
      <c r="E1411" s="1" t="s">
        <v>2523</v>
      </c>
      <c r="F1411" s="1" t="s">
        <v>2524</v>
      </c>
      <c r="G1411" s="33">
        <v>0.25</v>
      </c>
      <c r="H1411" s="33">
        <v>0.09</v>
      </c>
      <c r="I1411" s="34">
        <v>0.1111</v>
      </c>
      <c r="J1411" s="31" t="s">
        <v>2239</v>
      </c>
    </row>
    <row r="1412" spans="1:10" ht="48">
      <c r="A1412" s="1">
        <v>2023</v>
      </c>
      <c r="B1412" s="1" t="s">
        <v>9</v>
      </c>
      <c r="C1412" s="1" t="s">
        <v>92</v>
      </c>
      <c r="D1412" s="1" t="s">
        <v>2508</v>
      </c>
      <c r="E1412" s="22" t="s">
        <v>2525</v>
      </c>
      <c r="F1412" s="1" t="s">
        <v>2524</v>
      </c>
      <c r="G1412" s="33">
        <v>0.25</v>
      </c>
      <c r="H1412" s="33">
        <v>0.08</v>
      </c>
      <c r="I1412" s="34">
        <v>7.9699999999999993E-2</v>
      </c>
      <c r="J1412" s="31" t="s">
        <v>2239</v>
      </c>
    </row>
    <row r="1413" spans="1:10" ht="48">
      <c r="A1413" s="1">
        <v>2023</v>
      </c>
      <c r="B1413" s="1" t="s">
        <v>9</v>
      </c>
      <c r="C1413" s="1" t="s">
        <v>92</v>
      </c>
      <c r="D1413" s="1" t="s">
        <v>2526</v>
      </c>
      <c r="E1413" s="1" t="s">
        <v>2527</v>
      </c>
      <c r="F1413" s="1" t="s">
        <v>2528</v>
      </c>
      <c r="G1413" s="33">
        <v>0.25</v>
      </c>
      <c r="H1413" s="33">
        <v>0.08</v>
      </c>
      <c r="I1413" s="34">
        <v>7.9699999999999993E-2</v>
      </c>
      <c r="J1413" s="31" t="s">
        <v>2239</v>
      </c>
    </row>
    <row r="1414" spans="1:10" ht="48">
      <c r="A1414" s="1">
        <v>2023</v>
      </c>
      <c r="B1414" s="1" t="s">
        <v>9</v>
      </c>
      <c r="C1414" s="1" t="s">
        <v>92</v>
      </c>
      <c r="D1414" s="1" t="s">
        <v>2526</v>
      </c>
      <c r="E1414" s="22" t="s">
        <v>2529</v>
      </c>
      <c r="F1414" s="1" t="s">
        <v>2481</v>
      </c>
      <c r="G1414" s="33">
        <v>0.25</v>
      </c>
      <c r="H1414" s="34">
        <v>0.08</v>
      </c>
      <c r="I1414" s="34">
        <v>7.9699999999999993E-2</v>
      </c>
      <c r="J1414" s="31" t="s">
        <v>2239</v>
      </c>
    </row>
    <row r="1415" spans="1:10" ht="72">
      <c r="A1415" s="1">
        <v>2023</v>
      </c>
      <c r="B1415" s="1" t="s">
        <v>9</v>
      </c>
      <c r="C1415" s="1" t="s">
        <v>92</v>
      </c>
      <c r="D1415" s="1" t="s">
        <v>2526</v>
      </c>
      <c r="E1415" s="1" t="s">
        <v>2530</v>
      </c>
      <c r="F1415" s="1" t="s">
        <v>2531</v>
      </c>
      <c r="G1415" s="32">
        <v>0</v>
      </c>
      <c r="H1415" s="32">
        <v>0</v>
      </c>
      <c r="I1415" s="32">
        <v>0</v>
      </c>
      <c r="J1415" s="31" t="s">
        <v>2239</v>
      </c>
    </row>
    <row r="1416" spans="1:10" ht="72">
      <c r="A1416" s="1">
        <v>2023</v>
      </c>
      <c r="B1416" s="1" t="s">
        <v>9</v>
      </c>
      <c r="C1416" s="1" t="s">
        <v>92</v>
      </c>
      <c r="D1416" s="1" t="s">
        <v>2526</v>
      </c>
      <c r="E1416" s="22" t="s">
        <v>2532</v>
      </c>
      <c r="F1416" s="1" t="s">
        <v>2533</v>
      </c>
      <c r="G1416" s="32">
        <v>0</v>
      </c>
      <c r="H1416" s="32">
        <v>0</v>
      </c>
      <c r="I1416" s="32">
        <v>0</v>
      </c>
      <c r="J1416" s="31" t="s">
        <v>2239</v>
      </c>
    </row>
    <row r="1417" spans="1:10" ht="96">
      <c r="A1417" s="1">
        <v>2023</v>
      </c>
      <c r="B1417" s="1" t="s">
        <v>9</v>
      </c>
      <c r="C1417" s="1" t="s">
        <v>92</v>
      </c>
      <c r="D1417" s="1" t="s">
        <v>2526</v>
      </c>
      <c r="E1417" s="1" t="s">
        <v>2534</v>
      </c>
      <c r="F1417" s="1" t="s">
        <v>2535</v>
      </c>
      <c r="G1417" s="33">
        <v>1</v>
      </c>
      <c r="H1417" s="34">
        <v>0.19</v>
      </c>
      <c r="I1417" s="33">
        <v>0.4375</v>
      </c>
      <c r="J1417" s="31" t="s">
        <v>2239</v>
      </c>
    </row>
    <row r="1418" spans="1:10" ht="48">
      <c r="A1418" s="1">
        <v>2023</v>
      </c>
      <c r="B1418" s="1" t="s">
        <v>9</v>
      </c>
      <c r="C1418" s="1" t="s">
        <v>92</v>
      </c>
      <c r="D1418" s="1" t="s">
        <v>2526</v>
      </c>
      <c r="E1418" s="22" t="s">
        <v>2536</v>
      </c>
      <c r="F1418" s="1" t="s">
        <v>2406</v>
      </c>
      <c r="G1418" s="33">
        <v>1</v>
      </c>
      <c r="H1418" s="33">
        <v>0.2</v>
      </c>
      <c r="I1418" s="34">
        <v>0.31669999999999998</v>
      </c>
      <c r="J1418" s="31" t="s">
        <v>2239</v>
      </c>
    </row>
    <row r="1419" spans="1:10" ht="48">
      <c r="A1419" s="1">
        <v>2023</v>
      </c>
      <c r="B1419" s="1" t="s">
        <v>9</v>
      </c>
      <c r="C1419" s="1" t="s">
        <v>92</v>
      </c>
      <c r="D1419" s="1" t="s">
        <v>2526</v>
      </c>
      <c r="E1419" s="1" t="s">
        <v>2536</v>
      </c>
      <c r="F1419" s="1" t="s">
        <v>2406</v>
      </c>
      <c r="G1419" s="33">
        <v>1</v>
      </c>
      <c r="H1419" s="33">
        <v>0</v>
      </c>
      <c r="I1419" s="34">
        <v>0</v>
      </c>
      <c r="J1419" s="31" t="s">
        <v>2239</v>
      </c>
    </row>
    <row r="1420" spans="1:10" ht="48">
      <c r="A1420" s="1">
        <v>2023</v>
      </c>
      <c r="B1420" s="1" t="s">
        <v>9</v>
      </c>
      <c r="C1420" s="1" t="s">
        <v>92</v>
      </c>
      <c r="D1420" s="1" t="s">
        <v>2526</v>
      </c>
      <c r="E1420" s="22" t="s">
        <v>2536</v>
      </c>
      <c r="F1420" s="1" t="s">
        <v>2406</v>
      </c>
      <c r="G1420" s="33">
        <v>0.25</v>
      </c>
      <c r="H1420" s="33">
        <v>0.06</v>
      </c>
      <c r="I1420" s="34">
        <v>0.14580000000000001</v>
      </c>
      <c r="J1420" s="31" t="s">
        <v>2239</v>
      </c>
    </row>
    <row r="1421" spans="1:10" ht="48">
      <c r="A1421" s="1">
        <v>2023</v>
      </c>
      <c r="B1421" s="1" t="s">
        <v>9</v>
      </c>
      <c r="C1421" s="1" t="s">
        <v>92</v>
      </c>
      <c r="D1421" s="1" t="s">
        <v>2526</v>
      </c>
      <c r="E1421" s="1" t="s">
        <v>1009</v>
      </c>
      <c r="F1421" s="1" t="s">
        <v>2537</v>
      </c>
      <c r="G1421" s="33">
        <v>0.25</v>
      </c>
      <c r="H1421" s="33">
        <v>0.06</v>
      </c>
      <c r="I1421" s="34">
        <v>0.14580000000000001</v>
      </c>
      <c r="J1421" s="31" t="s">
        <v>2239</v>
      </c>
    </row>
    <row r="1422" spans="1:10" ht="48">
      <c r="A1422" s="1">
        <v>2023</v>
      </c>
      <c r="B1422" s="1" t="s">
        <v>9</v>
      </c>
      <c r="C1422" s="1" t="s">
        <v>92</v>
      </c>
      <c r="D1422" s="1" t="s">
        <v>2526</v>
      </c>
      <c r="E1422" s="22" t="s">
        <v>1009</v>
      </c>
      <c r="F1422" s="1" t="s">
        <v>2537</v>
      </c>
      <c r="G1422" s="33">
        <v>0.25</v>
      </c>
      <c r="H1422" s="33">
        <v>0.06</v>
      </c>
      <c r="I1422" s="34">
        <v>0.14580000000000001</v>
      </c>
      <c r="J1422" s="31" t="s">
        <v>2239</v>
      </c>
    </row>
    <row r="1423" spans="1:10" ht="48">
      <c r="A1423" s="1">
        <v>2023</v>
      </c>
      <c r="B1423" s="1" t="s">
        <v>9</v>
      </c>
      <c r="C1423" s="1" t="s">
        <v>92</v>
      </c>
      <c r="D1423" s="1" t="s">
        <v>2526</v>
      </c>
      <c r="E1423" s="1" t="s">
        <v>2538</v>
      </c>
      <c r="F1423" s="1" t="s">
        <v>2537</v>
      </c>
      <c r="G1423" s="33">
        <v>0.25</v>
      </c>
      <c r="H1423" s="33">
        <v>7.0000000000000007E-2</v>
      </c>
      <c r="I1423" s="34">
        <v>0.1055</v>
      </c>
      <c r="J1423" s="31" t="s">
        <v>2239</v>
      </c>
    </row>
    <row r="1424" spans="1:10" ht="48">
      <c r="A1424" s="1">
        <v>2023</v>
      </c>
      <c r="B1424" s="1" t="s">
        <v>9</v>
      </c>
      <c r="C1424" s="1" t="s">
        <v>92</v>
      </c>
      <c r="D1424" s="1" t="s">
        <v>2526</v>
      </c>
      <c r="E1424" s="22" t="s">
        <v>2539</v>
      </c>
      <c r="F1424" s="1" t="s">
        <v>2460</v>
      </c>
      <c r="G1424" s="33">
        <v>0.25</v>
      </c>
      <c r="H1424" s="34">
        <v>7.0000000000000007E-2</v>
      </c>
      <c r="I1424" s="33">
        <v>0.1055</v>
      </c>
      <c r="J1424" s="31" t="s">
        <v>2239</v>
      </c>
    </row>
    <row r="1425" spans="1:10" ht="48">
      <c r="A1425" s="1">
        <v>2023</v>
      </c>
      <c r="B1425" s="1" t="s">
        <v>9</v>
      </c>
      <c r="C1425" s="1" t="s">
        <v>92</v>
      </c>
      <c r="D1425" s="1" t="s">
        <v>2526</v>
      </c>
      <c r="E1425" s="1" t="s">
        <v>2540</v>
      </c>
      <c r="F1425" s="1" t="s">
        <v>2541</v>
      </c>
      <c r="G1425" s="33">
        <v>0.25</v>
      </c>
      <c r="H1425" s="34">
        <v>7.0000000000000007E-2</v>
      </c>
      <c r="I1425" s="33">
        <v>0.1055</v>
      </c>
      <c r="J1425" s="31" t="s">
        <v>2239</v>
      </c>
    </row>
    <row r="1426" spans="1:10" ht="48">
      <c r="A1426" s="1">
        <v>2023</v>
      </c>
      <c r="B1426" s="1" t="s">
        <v>9</v>
      </c>
      <c r="C1426" s="1" t="s">
        <v>92</v>
      </c>
      <c r="D1426" s="1" t="s">
        <v>2542</v>
      </c>
      <c r="E1426" s="22" t="s">
        <v>2543</v>
      </c>
      <c r="F1426" s="1" t="s">
        <v>2544</v>
      </c>
      <c r="G1426" s="33">
        <v>0.25</v>
      </c>
      <c r="H1426" s="34">
        <v>0</v>
      </c>
      <c r="I1426" s="34">
        <v>0</v>
      </c>
      <c r="J1426" s="31" t="s">
        <v>2239</v>
      </c>
    </row>
    <row r="1427" spans="1:10" ht="72">
      <c r="A1427" s="1">
        <v>2023</v>
      </c>
      <c r="B1427" s="1" t="s">
        <v>9</v>
      </c>
      <c r="C1427" s="1" t="s">
        <v>92</v>
      </c>
      <c r="D1427" s="1" t="s">
        <v>2542</v>
      </c>
      <c r="E1427" s="1" t="s">
        <v>2545</v>
      </c>
      <c r="F1427" s="1" t="s">
        <v>2546</v>
      </c>
      <c r="G1427" s="33">
        <v>0.25</v>
      </c>
      <c r="H1427" s="34">
        <v>0</v>
      </c>
      <c r="I1427" s="34">
        <v>0</v>
      </c>
      <c r="J1427" s="31" t="s">
        <v>2239</v>
      </c>
    </row>
    <row r="1428" spans="1:10" ht="120">
      <c r="A1428" s="1">
        <v>2023</v>
      </c>
      <c r="B1428" s="1" t="s">
        <v>9</v>
      </c>
      <c r="C1428" s="1" t="s">
        <v>92</v>
      </c>
      <c r="D1428" s="1" t="s">
        <v>2542</v>
      </c>
      <c r="E1428" s="22" t="s">
        <v>2547</v>
      </c>
      <c r="F1428" s="1" t="s">
        <v>2548</v>
      </c>
      <c r="G1428" s="32">
        <v>0</v>
      </c>
      <c r="H1428" s="32">
        <v>0</v>
      </c>
      <c r="I1428" s="32">
        <v>0</v>
      </c>
      <c r="J1428" s="31" t="s">
        <v>2239</v>
      </c>
    </row>
    <row r="1429" spans="1:10" ht="168">
      <c r="A1429" s="1">
        <v>2023</v>
      </c>
      <c r="B1429" s="1" t="s">
        <v>9</v>
      </c>
      <c r="C1429" s="1" t="s">
        <v>92</v>
      </c>
      <c r="D1429" s="1" t="s">
        <v>2542</v>
      </c>
      <c r="E1429" s="1" t="s">
        <v>2549</v>
      </c>
      <c r="F1429" s="1" t="s">
        <v>2550</v>
      </c>
      <c r="G1429" s="32">
        <v>0</v>
      </c>
      <c r="H1429" s="32">
        <v>0</v>
      </c>
      <c r="I1429" s="32">
        <v>0</v>
      </c>
      <c r="J1429" s="31" t="s">
        <v>2239</v>
      </c>
    </row>
    <row r="1430" spans="1:10" ht="48">
      <c r="A1430" s="1">
        <v>2023</v>
      </c>
      <c r="B1430" s="1" t="s">
        <v>9</v>
      </c>
      <c r="C1430" s="1" t="s">
        <v>92</v>
      </c>
      <c r="D1430" s="1" t="s">
        <v>2542</v>
      </c>
      <c r="E1430" s="22" t="s">
        <v>2551</v>
      </c>
      <c r="F1430" s="1" t="s">
        <v>2552</v>
      </c>
      <c r="G1430" s="33">
        <v>1</v>
      </c>
      <c r="H1430" s="33">
        <v>0.27</v>
      </c>
      <c r="I1430" s="34">
        <v>0.27</v>
      </c>
      <c r="J1430" s="31" t="s">
        <v>2239</v>
      </c>
    </row>
    <row r="1431" spans="1:10" ht="48">
      <c r="A1431" s="1">
        <v>2023</v>
      </c>
      <c r="B1431" s="1" t="s">
        <v>9</v>
      </c>
      <c r="C1431" s="1" t="s">
        <v>92</v>
      </c>
      <c r="D1431" s="1" t="s">
        <v>2542</v>
      </c>
      <c r="E1431" s="1" t="s">
        <v>2553</v>
      </c>
      <c r="F1431" s="1" t="s">
        <v>2554</v>
      </c>
      <c r="G1431" s="33">
        <v>1</v>
      </c>
      <c r="H1431" s="33">
        <v>0.27</v>
      </c>
      <c r="I1431" s="34">
        <v>0.26250000000000001</v>
      </c>
      <c r="J1431" s="31" t="s">
        <v>2239</v>
      </c>
    </row>
    <row r="1432" spans="1:10" ht="48">
      <c r="A1432" s="1">
        <v>2023</v>
      </c>
      <c r="B1432" s="1" t="s">
        <v>9</v>
      </c>
      <c r="C1432" s="1" t="s">
        <v>92</v>
      </c>
      <c r="D1432" s="1" t="s">
        <v>2542</v>
      </c>
      <c r="E1432" s="22" t="s">
        <v>2555</v>
      </c>
      <c r="F1432" s="1" t="s">
        <v>2552</v>
      </c>
      <c r="G1432" s="33">
        <v>0.25</v>
      </c>
      <c r="H1432" s="33">
        <v>0.13</v>
      </c>
      <c r="I1432" s="34">
        <v>0.13500000000000001</v>
      </c>
      <c r="J1432" s="31" t="s">
        <v>2239</v>
      </c>
    </row>
    <row r="1433" spans="1:10" ht="48">
      <c r="A1433" s="1">
        <v>2023</v>
      </c>
      <c r="B1433" s="1" t="s">
        <v>9</v>
      </c>
      <c r="C1433" s="1" t="s">
        <v>92</v>
      </c>
      <c r="D1433" s="1" t="s">
        <v>2542</v>
      </c>
      <c r="E1433" s="1" t="s">
        <v>2553</v>
      </c>
      <c r="F1433" s="1" t="s">
        <v>2554</v>
      </c>
      <c r="G1433" s="33">
        <v>0.25</v>
      </c>
      <c r="H1433" s="33">
        <v>0.13</v>
      </c>
      <c r="I1433" s="34">
        <v>0.13500000000000001</v>
      </c>
      <c r="J1433" s="31" t="s">
        <v>2239</v>
      </c>
    </row>
    <row r="1434" spans="1:10" ht="48">
      <c r="A1434" s="1">
        <v>2023</v>
      </c>
      <c r="B1434" s="1" t="s">
        <v>9</v>
      </c>
      <c r="C1434" s="1" t="s">
        <v>92</v>
      </c>
      <c r="D1434" s="1" t="s">
        <v>2556</v>
      </c>
      <c r="E1434" s="22" t="s">
        <v>2558</v>
      </c>
      <c r="F1434" s="1" t="s">
        <v>2559</v>
      </c>
      <c r="G1434" s="33">
        <v>0.25</v>
      </c>
      <c r="H1434" s="33">
        <v>0.13</v>
      </c>
      <c r="I1434" s="34">
        <v>0.13120000000000001</v>
      </c>
      <c r="J1434" s="31" t="s">
        <v>2239</v>
      </c>
    </row>
    <row r="1435" spans="1:10" ht="48">
      <c r="A1435" s="1">
        <v>2023</v>
      </c>
      <c r="B1435" s="1" t="s">
        <v>9</v>
      </c>
      <c r="C1435" s="1" t="s">
        <v>92</v>
      </c>
      <c r="D1435" s="1" t="s">
        <v>2556</v>
      </c>
      <c r="E1435" s="1" t="s">
        <v>2557</v>
      </c>
      <c r="F1435" s="1" t="s">
        <v>2559</v>
      </c>
      <c r="G1435" s="33">
        <v>0.25</v>
      </c>
      <c r="H1435" s="33">
        <v>0.13</v>
      </c>
      <c r="I1435" s="34">
        <v>0.13120000000000001</v>
      </c>
      <c r="J1435" s="31" t="s">
        <v>2239</v>
      </c>
    </row>
    <row r="1436" spans="1:10" ht="96">
      <c r="A1436" s="1">
        <v>2023</v>
      </c>
      <c r="B1436" s="1" t="s">
        <v>9</v>
      </c>
      <c r="C1436" s="1" t="s">
        <v>92</v>
      </c>
      <c r="D1436" s="1" t="s">
        <v>2556</v>
      </c>
      <c r="E1436" s="22" t="s">
        <v>2560</v>
      </c>
      <c r="F1436" s="1" t="s">
        <v>1162</v>
      </c>
      <c r="G1436" s="32">
        <v>0</v>
      </c>
      <c r="H1436" s="32">
        <v>0</v>
      </c>
      <c r="I1436" s="32">
        <v>0</v>
      </c>
      <c r="J1436" s="31" t="s">
        <v>2239</v>
      </c>
    </row>
    <row r="1437" spans="1:10" ht="132">
      <c r="A1437" s="1">
        <v>2023</v>
      </c>
      <c r="B1437" s="1" t="s">
        <v>9</v>
      </c>
      <c r="C1437" s="1" t="s">
        <v>92</v>
      </c>
      <c r="D1437" s="1" t="s">
        <v>2556</v>
      </c>
      <c r="E1437" s="1" t="s">
        <v>2561</v>
      </c>
      <c r="F1437" s="1" t="s">
        <v>2562</v>
      </c>
      <c r="G1437" s="32">
        <v>0</v>
      </c>
      <c r="H1437" s="32">
        <v>0</v>
      </c>
      <c r="I1437" s="32">
        <v>0</v>
      </c>
      <c r="J1437" s="31" t="s">
        <v>2239</v>
      </c>
    </row>
    <row r="1438" spans="1:10" ht="48">
      <c r="A1438" s="1">
        <v>2023</v>
      </c>
      <c r="B1438" s="1" t="s">
        <v>9</v>
      </c>
      <c r="C1438" s="1" t="s">
        <v>92</v>
      </c>
      <c r="D1438" s="1" t="s">
        <v>2556</v>
      </c>
      <c r="E1438" s="22" t="s">
        <v>2563</v>
      </c>
      <c r="F1438" s="1" t="s">
        <v>2564</v>
      </c>
      <c r="G1438" s="34">
        <v>1</v>
      </c>
      <c r="H1438" s="34">
        <v>0.24</v>
      </c>
      <c r="I1438" s="34">
        <v>0.30830000000000002</v>
      </c>
      <c r="J1438" s="31" t="s">
        <v>2239</v>
      </c>
    </row>
    <row r="1439" spans="1:10" ht="48">
      <c r="A1439" s="1">
        <v>2023</v>
      </c>
      <c r="B1439" s="1" t="s">
        <v>9</v>
      </c>
      <c r="C1439" s="1" t="s">
        <v>92</v>
      </c>
      <c r="D1439" s="1" t="s">
        <v>2556</v>
      </c>
      <c r="E1439" s="1" t="s">
        <v>2565</v>
      </c>
      <c r="F1439" s="1" t="s">
        <v>2566</v>
      </c>
      <c r="G1439" s="33">
        <v>0</v>
      </c>
      <c r="H1439" s="34">
        <v>0.2382</v>
      </c>
      <c r="I1439" s="34">
        <v>0.7</v>
      </c>
      <c r="J1439" s="31" t="s">
        <v>2239</v>
      </c>
    </row>
    <row r="1440" spans="1:10" ht="72">
      <c r="A1440" s="1">
        <v>2023</v>
      </c>
      <c r="B1440" s="1" t="s">
        <v>9</v>
      </c>
      <c r="C1440" s="1" t="s">
        <v>92</v>
      </c>
      <c r="D1440" s="1" t="s">
        <v>2556</v>
      </c>
      <c r="E1440" s="22" t="s">
        <v>2567</v>
      </c>
      <c r="F1440" s="1" t="s">
        <v>2564</v>
      </c>
      <c r="G1440" s="34">
        <v>0.25</v>
      </c>
      <c r="H1440" s="34">
        <v>0.12</v>
      </c>
      <c r="I1440" s="34">
        <v>0.15409999999999999</v>
      </c>
      <c r="J1440" s="31" t="s">
        <v>2239</v>
      </c>
    </row>
    <row r="1441" spans="1:10" ht="48">
      <c r="A1441" s="1">
        <v>2023</v>
      </c>
      <c r="B1441" s="1" t="s">
        <v>9</v>
      </c>
      <c r="C1441" s="1" t="s">
        <v>92</v>
      </c>
      <c r="D1441" s="1" t="s">
        <v>2556</v>
      </c>
      <c r="E1441" s="1" t="s">
        <v>2565</v>
      </c>
      <c r="F1441" s="1" t="s">
        <v>2566</v>
      </c>
      <c r="G1441" s="34">
        <v>0.25</v>
      </c>
      <c r="H1441" s="34">
        <v>0.12</v>
      </c>
      <c r="I1441" s="34">
        <v>0.15409999999999999</v>
      </c>
      <c r="J1441" s="31" t="s">
        <v>2239</v>
      </c>
    </row>
    <row r="1442" spans="1:10" ht="48">
      <c r="A1442" s="1">
        <v>2023</v>
      </c>
      <c r="B1442" s="1" t="s">
        <v>9</v>
      </c>
      <c r="C1442" s="1" t="s">
        <v>92</v>
      </c>
      <c r="D1442" s="1" t="s">
        <v>2568</v>
      </c>
      <c r="E1442" s="22" t="s">
        <v>2569</v>
      </c>
      <c r="F1442" s="1" t="s">
        <v>2546</v>
      </c>
      <c r="G1442" s="33">
        <v>0.25</v>
      </c>
      <c r="H1442" s="33">
        <v>0.1191</v>
      </c>
      <c r="I1442" s="34">
        <v>0.35</v>
      </c>
      <c r="J1442" s="31" t="s">
        <v>2239</v>
      </c>
    </row>
    <row r="1443" spans="1:10" ht="48">
      <c r="A1443" s="1">
        <v>2023</v>
      </c>
      <c r="B1443" s="1" t="s">
        <v>9</v>
      </c>
      <c r="C1443" s="1" t="s">
        <v>92</v>
      </c>
      <c r="D1443" s="1" t="s">
        <v>2568</v>
      </c>
      <c r="E1443" s="1" t="s">
        <v>2570</v>
      </c>
      <c r="F1443" s="1" t="s">
        <v>2546</v>
      </c>
      <c r="G1443" s="33">
        <v>0.25</v>
      </c>
      <c r="H1443" s="33">
        <v>0.1191</v>
      </c>
      <c r="I1443" s="34">
        <v>0.35</v>
      </c>
      <c r="J1443" s="31" t="s">
        <v>2239</v>
      </c>
    </row>
    <row r="1444" spans="1:10" ht="108">
      <c r="A1444" s="1">
        <v>2023</v>
      </c>
      <c r="B1444" s="1" t="s">
        <v>9</v>
      </c>
      <c r="C1444" s="1" t="s">
        <v>92</v>
      </c>
      <c r="D1444" s="1" t="s">
        <v>2568</v>
      </c>
      <c r="E1444" s="22" t="s">
        <v>2571</v>
      </c>
      <c r="F1444" s="1" t="s">
        <v>2572</v>
      </c>
      <c r="G1444" s="32">
        <v>0</v>
      </c>
      <c r="H1444" s="32">
        <v>0</v>
      </c>
      <c r="I1444" s="32">
        <v>0</v>
      </c>
      <c r="J1444" s="31" t="s">
        <v>2239</v>
      </c>
    </row>
    <row r="1445" spans="1:10" ht="60">
      <c r="A1445" s="1">
        <v>2023</v>
      </c>
      <c r="B1445" s="1" t="s">
        <v>9</v>
      </c>
      <c r="C1445" s="1" t="s">
        <v>92</v>
      </c>
      <c r="D1445" s="1" t="s">
        <v>2568</v>
      </c>
      <c r="E1445" s="1" t="s">
        <v>2573</v>
      </c>
      <c r="F1445" s="1" t="s">
        <v>2572</v>
      </c>
      <c r="G1445" s="32">
        <v>0</v>
      </c>
      <c r="H1445" s="32">
        <v>0</v>
      </c>
      <c r="I1445" s="32">
        <v>0</v>
      </c>
      <c r="J1445" s="31" t="s">
        <v>2239</v>
      </c>
    </row>
    <row r="1446" spans="1:10" ht="48">
      <c r="A1446" s="1">
        <v>2023</v>
      </c>
      <c r="B1446" s="1" t="s">
        <v>9</v>
      </c>
      <c r="C1446" s="1" t="s">
        <v>92</v>
      </c>
      <c r="D1446" s="1" t="s">
        <v>2568</v>
      </c>
      <c r="E1446" s="22" t="s">
        <v>2574</v>
      </c>
      <c r="F1446" s="1" t="s">
        <v>2546</v>
      </c>
      <c r="G1446" s="34">
        <v>1</v>
      </c>
      <c r="H1446" s="34">
        <v>0.24990000000000001</v>
      </c>
      <c r="I1446" s="34">
        <v>0.23749999999999999</v>
      </c>
      <c r="J1446" s="31" t="s">
        <v>2239</v>
      </c>
    </row>
    <row r="1447" spans="1:10" ht="48">
      <c r="A1447" s="1">
        <v>2023</v>
      </c>
      <c r="B1447" s="1" t="s">
        <v>9</v>
      </c>
      <c r="C1447" s="1" t="s">
        <v>92</v>
      </c>
      <c r="D1447" s="1" t="s">
        <v>2568</v>
      </c>
      <c r="E1447" s="1" t="s">
        <v>2574</v>
      </c>
      <c r="F1447" s="1" t="s">
        <v>2546</v>
      </c>
      <c r="G1447" s="34">
        <v>1</v>
      </c>
      <c r="H1447" s="34">
        <v>0.24990000000000001</v>
      </c>
      <c r="I1447" s="34">
        <v>0.1249</v>
      </c>
      <c r="J1447" s="31" t="s">
        <v>2239</v>
      </c>
    </row>
    <row r="1448" spans="1:10" ht="48">
      <c r="A1448" s="1">
        <v>2023</v>
      </c>
      <c r="B1448" s="1" t="s">
        <v>9</v>
      </c>
      <c r="C1448" s="1" t="s">
        <v>92</v>
      </c>
      <c r="D1448" s="1" t="s">
        <v>2568</v>
      </c>
      <c r="E1448" s="22" t="s">
        <v>2575</v>
      </c>
      <c r="F1448" s="1" t="s">
        <v>2576</v>
      </c>
      <c r="G1448" s="34">
        <v>0.25</v>
      </c>
      <c r="H1448" s="34">
        <v>0.1249</v>
      </c>
      <c r="I1448" s="34">
        <v>0.23749999999999999</v>
      </c>
      <c r="J1448" s="31" t="s">
        <v>2239</v>
      </c>
    </row>
    <row r="1449" spans="1:10" ht="48">
      <c r="A1449" s="1">
        <v>2023</v>
      </c>
      <c r="B1449" s="1" t="s">
        <v>9</v>
      </c>
      <c r="C1449" s="1" t="s">
        <v>92</v>
      </c>
      <c r="D1449" s="1" t="s">
        <v>2568</v>
      </c>
      <c r="E1449" s="1" t="s">
        <v>2575</v>
      </c>
      <c r="F1449" s="1" t="s">
        <v>2576</v>
      </c>
      <c r="G1449" s="34">
        <v>0.25</v>
      </c>
      <c r="H1449" s="34">
        <v>0.1249</v>
      </c>
      <c r="I1449" s="34">
        <v>0.23749999999999999</v>
      </c>
      <c r="J1449" s="31" t="s">
        <v>2239</v>
      </c>
    </row>
    <row r="1450" spans="1:10" ht="48">
      <c r="A1450" s="1">
        <v>2023</v>
      </c>
      <c r="B1450" s="1" t="s">
        <v>9</v>
      </c>
      <c r="C1450" s="1" t="s">
        <v>92</v>
      </c>
      <c r="D1450" s="1" t="s">
        <v>2577</v>
      </c>
      <c r="E1450" s="22" t="s">
        <v>2578</v>
      </c>
      <c r="F1450" s="1" t="s">
        <v>2579</v>
      </c>
      <c r="G1450" s="33">
        <v>0.25</v>
      </c>
      <c r="H1450" s="33">
        <v>0.1249</v>
      </c>
      <c r="I1450" s="34">
        <v>0.1249</v>
      </c>
      <c r="J1450" s="31" t="s">
        <v>2239</v>
      </c>
    </row>
    <row r="1451" spans="1:10" ht="48">
      <c r="A1451" s="1">
        <v>2023</v>
      </c>
      <c r="B1451" s="1" t="s">
        <v>9</v>
      </c>
      <c r="C1451" s="1" t="s">
        <v>92</v>
      </c>
      <c r="D1451" s="1" t="s">
        <v>2577</v>
      </c>
      <c r="E1451" s="1" t="s">
        <v>2580</v>
      </c>
      <c r="F1451" s="1" t="s">
        <v>2579</v>
      </c>
      <c r="G1451" s="33">
        <v>0.25</v>
      </c>
      <c r="H1451" s="33">
        <v>0.1249</v>
      </c>
      <c r="I1451" s="34">
        <v>0.1249</v>
      </c>
      <c r="J1451" s="31" t="s">
        <v>2239</v>
      </c>
    </row>
    <row r="1452" spans="1:10" ht="108">
      <c r="A1452" s="1">
        <v>2023</v>
      </c>
      <c r="B1452" s="1" t="s">
        <v>9</v>
      </c>
      <c r="C1452" s="1" t="s">
        <v>92</v>
      </c>
      <c r="D1452" s="1" t="s">
        <v>2577</v>
      </c>
      <c r="E1452" s="22" t="s">
        <v>2581</v>
      </c>
      <c r="F1452" s="1" t="s">
        <v>2582</v>
      </c>
      <c r="G1452" s="32">
        <v>0</v>
      </c>
      <c r="H1452" s="32">
        <v>0</v>
      </c>
      <c r="I1452" s="32">
        <v>0</v>
      </c>
      <c r="J1452" s="31" t="s">
        <v>2239</v>
      </c>
    </row>
    <row r="1453" spans="1:10" ht="168">
      <c r="A1453" s="1">
        <v>2023</v>
      </c>
      <c r="B1453" s="1" t="s">
        <v>9</v>
      </c>
      <c r="C1453" s="1" t="s">
        <v>92</v>
      </c>
      <c r="D1453" s="1" t="s">
        <v>2577</v>
      </c>
      <c r="E1453" s="1" t="s">
        <v>2583</v>
      </c>
      <c r="F1453" s="1" t="s">
        <v>2584</v>
      </c>
      <c r="G1453" s="32">
        <v>0</v>
      </c>
      <c r="H1453" s="32">
        <v>0</v>
      </c>
      <c r="I1453" s="32">
        <v>0</v>
      </c>
      <c r="J1453" s="31" t="s">
        <v>2239</v>
      </c>
    </row>
    <row r="1454" spans="1:10" ht="132">
      <c r="A1454" s="1">
        <v>2023</v>
      </c>
      <c r="B1454" s="1" t="s">
        <v>9</v>
      </c>
      <c r="C1454" s="1" t="s">
        <v>92</v>
      </c>
      <c r="D1454" s="1" t="s">
        <v>2577</v>
      </c>
      <c r="E1454" s="22" t="s">
        <v>2585</v>
      </c>
      <c r="F1454" s="1" t="s">
        <v>2586</v>
      </c>
      <c r="G1454" s="33">
        <v>1</v>
      </c>
      <c r="H1454" s="34">
        <v>0.26</v>
      </c>
      <c r="I1454" s="34">
        <v>2.5899999999999999E-2</v>
      </c>
      <c r="J1454" s="31" t="s">
        <v>2239</v>
      </c>
    </row>
    <row r="1455" spans="1:10" ht="96">
      <c r="A1455" s="1">
        <v>2023</v>
      </c>
      <c r="B1455" s="1" t="s">
        <v>9</v>
      </c>
      <c r="C1455" s="1" t="s">
        <v>92</v>
      </c>
      <c r="D1455" s="1" t="s">
        <v>2577</v>
      </c>
      <c r="E1455" s="1" t="s">
        <v>2587</v>
      </c>
      <c r="F1455" s="1" t="s">
        <v>2588</v>
      </c>
      <c r="G1455" s="33">
        <v>1</v>
      </c>
      <c r="H1455" s="34">
        <v>1</v>
      </c>
      <c r="I1455" s="34">
        <v>1.25</v>
      </c>
      <c r="J1455" s="31" t="s">
        <v>2239</v>
      </c>
    </row>
    <row r="1456" spans="1:10" ht="48">
      <c r="A1456" s="1">
        <v>2023</v>
      </c>
      <c r="B1456" s="1" t="s">
        <v>9</v>
      </c>
      <c r="C1456" s="1" t="s">
        <v>92</v>
      </c>
      <c r="D1456" s="1" t="s">
        <v>2577</v>
      </c>
      <c r="E1456" s="22" t="s">
        <v>971</v>
      </c>
      <c r="F1456" s="1" t="s">
        <v>2589</v>
      </c>
      <c r="G1456" s="33">
        <v>1</v>
      </c>
      <c r="H1456" s="33">
        <v>0.2</v>
      </c>
      <c r="I1456" s="34">
        <v>0.2</v>
      </c>
      <c r="J1456" s="31" t="s">
        <v>2239</v>
      </c>
    </row>
    <row r="1457" spans="1:10" ht="48">
      <c r="A1457" s="1">
        <v>2023</v>
      </c>
      <c r="B1457" s="1" t="s">
        <v>9</v>
      </c>
      <c r="C1457" s="1" t="s">
        <v>92</v>
      </c>
      <c r="D1457" s="1" t="s">
        <v>2577</v>
      </c>
      <c r="E1457" s="1" t="s">
        <v>700</v>
      </c>
      <c r="F1457" s="1" t="s">
        <v>2590</v>
      </c>
      <c r="G1457" s="33">
        <v>1</v>
      </c>
      <c r="H1457" s="33">
        <v>0.18</v>
      </c>
      <c r="I1457" s="34">
        <v>0.1333</v>
      </c>
      <c r="J1457" s="31" t="s">
        <v>2239</v>
      </c>
    </row>
    <row r="1458" spans="1:10" ht="48">
      <c r="A1458" s="1">
        <v>2023</v>
      </c>
      <c r="B1458" s="1" t="s">
        <v>9</v>
      </c>
      <c r="C1458" s="1" t="s">
        <v>92</v>
      </c>
      <c r="D1458" s="1" t="s">
        <v>2577</v>
      </c>
      <c r="E1458" s="22" t="s">
        <v>2591</v>
      </c>
      <c r="F1458" s="1" t="s">
        <v>2334</v>
      </c>
      <c r="G1458" s="33">
        <v>0.25</v>
      </c>
      <c r="H1458" s="33">
        <v>0.13</v>
      </c>
      <c r="I1458" s="34">
        <v>1.29E-2</v>
      </c>
      <c r="J1458" s="31" t="s">
        <v>2239</v>
      </c>
    </row>
    <row r="1459" spans="1:10" ht="48">
      <c r="A1459" s="1">
        <v>2023</v>
      </c>
      <c r="B1459" s="1" t="s">
        <v>9</v>
      </c>
      <c r="C1459" s="1" t="s">
        <v>92</v>
      </c>
      <c r="D1459" s="1" t="s">
        <v>2577</v>
      </c>
      <c r="E1459" s="1" t="s">
        <v>1723</v>
      </c>
      <c r="F1459" s="1" t="s">
        <v>2334</v>
      </c>
      <c r="G1459" s="33">
        <v>0.25</v>
      </c>
      <c r="H1459" s="33">
        <v>0.13</v>
      </c>
      <c r="I1459" s="34">
        <v>1.29E-2</v>
      </c>
      <c r="J1459" s="31" t="s">
        <v>2239</v>
      </c>
    </row>
    <row r="1460" spans="1:10" ht="48">
      <c r="A1460" s="1">
        <v>2023</v>
      </c>
      <c r="B1460" s="1" t="s">
        <v>9</v>
      </c>
      <c r="C1460" s="1" t="s">
        <v>92</v>
      </c>
      <c r="D1460" s="1" t="s">
        <v>2577</v>
      </c>
      <c r="E1460" s="22" t="s">
        <v>2591</v>
      </c>
      <c r="F1460" s="1" t="s">
        <v>2334</v>
      </c>
      <c r="G1460" s="33">
        <v>0.25</v>
      </c>
      <c r="H1460" s="33">
        <v>1</v>
      </c>
      <c r="I1460" s="34">
        <v>1.25</v>
      </c>
      <c r="J1460" s="31" t="s">
        <v>2239</v>
      </c>
    </row>
    <row r="1461" spans="1:10" ht="72">
      <c r="A1461" s="1">
        <v>2023</v>
      </c>
      <c r="B1461" s="1" t="s">
        <v>9</v>
      </c>
      <c r="C1461" s="1" t="s">
        <v>92</v>
      </c>
      <c r="D1461" s="1" t="s">
        <v>2592</v>
      </c>
      <c r="E1461" s="1" t="s">
        <v>2593</v>
      </c>
      <c r="F1461" s="1" t="s">
        <v>2334</v>
      </c>
      <c r="G1461" s="33">
        <v>0.25</v>
      </c>
      <c r="H1461" s="33">
        <v>0.2</v>
      </c>
      <c r="I1461" s="34">
        <v>0.2</v>
      </c>
      <c r="J1461" s="31" t="s">
        <v>2239</v>
      </c>
    </row>
    <row r="1462" spans="1:10" ht="60">
      <c r="A1462" s="1">
        <v>2023</v>
      </c>
      <c r="B1462" s="1" t="s">
        <v>9</v>
      </c>
      <c r="C1462" s="1" t="s">
        <v>92</v>
      </c>
      <c r="D1462" s="1" t="s">
        <v>2592</v>
      </c>
      <c r="E1462" s="22" t="s">
        <v>2594</v>
      </c>
      <c r="F1462" s="1" t="s">
        <v>2595</v>
      </c>
      <c r="G1462" s="33">
        <v>0.25</v>
      </c>
      <c r="H1462" s="33">
        <v>0.18</v>
      </c>
      <c r="I1462" s="34">
        <v>0.1333</v>
      </c>
      <c r="J1462" s="31" t="s">
        <v>2239</v>
      </c>
    </row>
    <row r="1463" spans="1:10" ht="144">
      <c r="A1463" s="1">
        <v>2023</v>
      </c>
      <c r="B1463" s="1" t="s">
        <v>9</v>
      </c>
      <c r="C1463" s="1" t="s">
        <v>92</v>
      </c>
      <c r="D1463" s="1" t="s">
        <v>2592</v>
      </c>
      <c r="E1463" s="1" t="s">
        <v>2596</v>
      </c>
      <c r="F1463" s="1" t="s">
        <v>2582</v>
      </c>
      <c r="G1463" s="32">
        <v>0</v>
      </c>
      <c r="H1463" s="32">
        <v>0</v>
      </c>
      <c r="I1463" s="32">
        <v>0</v>
      </c>
      <c r="J1463" s="31" t="s">
        <v>2239</v>
      </c>
    </row>
    <row r="1464" spans="1:10" ht="84">
      <c r="A1464" s="1">
        <v>2023</v>
      </c>
      <c r="B1464" s="1" t="s">
        <v>9</v>
      </c>
      <c r="C1464" s="1" t="s">
        <v>92</v>
      </c>
      <c r="D1464" s="1" t="s">
        <v>2592</v>
      </c>
      <c r="E1464" s="22" t="s">
        <v>2597</v>
      </c>
      <c r="F1464" s="1" t="s">
        <v>2598</v>
      </c>
      <c r="G1464" s="32">
        <v>0</v>
      </c>
      <c r="H1464" s="32">
        <v>0</v>
      </c>
      <c r="I1464" s="32">
        <v>0</v>
      </c>
      <c r="J1464" s="31" t="s">
        <v>2239</v>
      </c>
    </row>
    <row r="1465" spans="1:10" ht="48">
      <c r="A1465" s="1">
        <v>2023</v>
      </c>
      <c r="B1465" s="1" t="s">
        <v>9</v>
      </c>
      <c r="C1465" s="1" t="s">
        <v>92</v>
      </c>
      <c r="D1465" s="1" t="s">
        <v>2592</v>
      </c>
      <c r="E1465" s="1" t="s">
        <v>2599</v>
      </c>
      <c r="F1465" s="1" t="s">
        <v>2517</v>
      </c>
      <c r="G1465" s="33">
        <v>1</v>
      </c>
      <c r="H1465" s="33">
        <v>0.33</v>
      </c>
      <c r="I1465" s="33">
        <v>0.33</v>
      </c>
      <c r="J1465" s="31" t="s">
        <v>2239</v>
      </c>
    </row>
    <row r="1466" spans="1:10" ht="48">
      <c r="A1466" s="1">
        <v>2023</v>
      </c>
      <c r="B1466" s="1" t="s">
        <v>9</v>
      </c>
      <c r="C1466" s="1" t="s">
        <v>92</v>
      </c>
      <c r="D1466" s="1" t="s">
        <v>2592</v>
      </c>
      <c r="E1466" s="22" t="s">
        <v>2599</v>
      </c>
      <c r="F1466" s="1" t="s">
        <v>2517</v>
      </c>
      <c r="G1466" s="33">
        <v>1</v>
      </c>
      <c r="H1466" s="33">
        <v>0.33</v>
      </c>
      <c r="I1466" s="33">
        <v>0.33329999999999999</v>
      </c>
      <c r="J1466" s="31" t="s">
        <v>2239</v>
      </c>
    </row>
    <row r="1467" spans="1:10" ht="72">
      <c r="A1467" s="1">
        <v>2023</v>
      </c>
      <c r="B1467" s="1" t="s">
        <v>9</v>
      </c>
      <c r="C1467" s="1" t="s">
        <v>92</v>
      </c>
      <c r="D1467" s="1" t="s">
        <v>2592</v>
      </c>
      <c r="E1467" s="1" t="s">
        <v>2600</v>
      </c>
      <c r="F1467" s="1" t="s">
        <v>2601</v>
      </c>
      <c r="G1467" s="33">
        <v>0.25</v>
      </c>
      <c r="H1467" s="33">
        <v>0.17</v>
      </c>
      <c r="I1467" s="34">
        <v>0.17</v>
      </c>
      <c r="J1467" s="31" t="s">
        <v>2239</v>
      </c>
    </row>
    <row r="1468" spans="1:10" ht="72">
      <c r="A1468" s="1">
        <v>2023</v>
      </c>
      <c r="B1468" s="1" t="s">
        <v>9</v>
      </c>
      <c r="C1468" s="1" t="s">
        <v>92</v>
      </c>
      <c r="D1468" s="1" t="s">
        <v>2602</v>
      </c>
      <c r="E1468" s="22" t="s">
        <v>2603</v>
      </c>
      <c r="F1468" s="1" t="s">
        <v>2334</v>
      </c>
      <c r="G1468" s="33">
        <v>0.25</v>
      </c>
      <c r="H1468" s="33">
        <v>0.17</v>
      </c>
      <c r="I1468" s="34">
        <v>0.17</v>
      </c>
      <c r="J1468" s="31" t="s">
        <v>2239</v>
      </c>
    </row>
    <row r="1469" spans="1:10" ht="48">
      <c r="A1469" s="1">
        <v>2023</v>
      </c>
      <c r="B1469" s="1" t="s">
        <v>9</v>
      </c>
      <c r="C1469" s="1" t="s">
        <v>92</v>
      </c>
      <c r="D1469" s="1" t="s">
        <v>2602</v>
      </c>
      <c r="E1469" s="1" t="s">
        <v>2604</v>
      </c>
      <c r="F1469" s="1" t="s">
        <v>2334</v>
      </c>
      <c r="G1469" s="33">
        <v>0.25</v>
      </c>
      <c r="H1469" s="33">
        <v>0.33</v>
      </c>
      <c r="I1469" s="34">
        <v>0.33329999999999999</v>
      </c>
      <c r="J1469" s="31" t="s">
        <v>2239</v>
      </c>
    </row>
    <row r="1470" spans="1:10" ht="96">
      <c r="A1470" s="1">
        <v>2023</v>
      </c>
      <c r="B1470" s="1" t="s">
        <v>9</v>
      </c>
      <c r="C1470" s="1" t="s">
        <v>92</v>
      </c>
      <c r="D1470" s="1" t="s">
        <v>2602</v>
      </c>
      <c r="E1470" s="22" t="s">
        <v>2605</v>
      </c>
      <c r="F1470" s="1" t="s">
        <v>2606</v>
      </c>
      <c r="G1470" s="32">
        <v>0</v>
      </c>
      <c r="H1470" s="32">
        <v>0</v>
      </c>
      <c r="I1470" s="32">
        <v>0</v>
      </c>
      <c r="J1470" s="31" t="s">
        <v>2239</v>
      </c>
    </row>
    <row r="1471" spans="1:10" ht="108">
      <c r="A1471" s="1">
        <v>2023</v>
      </c>
      <c r="B1471" s="1" t="s">
        <v>9</v>
      </c>
      <c r="C1471" s="1" t="s">
        <v>92</v>
      </c>
      <c r="D1471" s="1" t="s">
        <v>2602</v>
      </c>
      <c r="E1471" s="1" t="s">
        <v>2607</v>
      </c>
      <c r="F1471" s="1" t="s">
        <v>2608</v>
      </c>
      <c r="G1471" s="32">
        <v>0</v>
      </c>
      <c r="H1471" s="32">
        <v>0</v>
      </c>
      <c r="I1471" s="32">
        <v>0</v>
      </c>
      <c r="J1471" s="31" t="s">
        <v>2239</v>
      </c>
    </row>
    <row r="1472" spans="1:10" ht="108">
      <c r="A1472" s="1">
        <v>2023</v>
      </c>
      <c r="B1472" s="1" t="s">
        <v>9</v>
      </c>
      <c r="C1472" s="1" t="s">
        <v>92</v>
      </c>
      <c r="D1472" s="1" t="s">
        <v>2602</v>
      </c>
      <c r="E1472" s="22" t="s">
        <v>2609</v>
      </c>
      <c r="F1472" s="1" t="s">
        <v>252</v>
      </c>
      <c r="G1472" s="33">
        <v>1</v>
      </c>
      <c r="H1472" s="34">
        <v>0.21</v>
      </c>
      <c r="I1472" s="34">
        <v>0.47670000000000001</v>
      </c>
      <c r="J1472" s="31" t="s">
        <v>2239</v>
      </c>
    </row>
    <row r="1473" spans="1:10" ht="144">
      <c r="A1473" s="1">
        <v>2023</v>
      </c>
      <c r="B1473" s="1" t="s">
        <v>9</v>
      </c>
      <c r="C1473" s="1" t="s">
        <v>92</v>
      </c>
      <c r="D1473" s="1" t="s">
        <v>2602</v>
      </c>
      <c r="E1473" s="1" t="s">
        <v>2610</v>
      </c>
      <c r="F1473" s="1" t="s">
        <v>2611</v>
      </c>
      <c r="G1473" s="33">
        <v>1</v>
      </c>
      <c r="H1473" s="34">
        <v>0.33</v>
      </c>
      <c r="I1473" s="34">
        <v>0.66659999999999997</v>
      </c>
      <c r="J1473" s="31" t="s">
        <v>2239</v>
      </c>
    </row>
    <row r="1474" spans="1:10" ht="48">
      <c r="A1474" s="1">
        <v>2023</v>
      </c>
      <c r="B1474" s="1" t="s">
        <v>9</v>
      </c>
      <c r="C1474" s="1" t="s">
        <v>92</v>
      </c>
      <c r="D1474" s="1" t="s">
        <v>2602</v>
      </c>
      <c r="E1474" s="22" t="s">
        <v>2612</v>
      </c>
      <c r="F1474" s="1" t="s">
        <v>2613</v>
      </c>
      <c r="G1474" s="33">
        <v>1</v>
      </c>
      <c r="H1474" s="33">
        <v>0.33</v>
      </c>
      <c r="I1474" s="34">
        <v>0.5</v>
      </c>
      <c r="J1474" s="31" t="s">
        <v>2239</v>
      </c>
    </row>
    <row r="1475" spans="1:10" ht="48">
      <c r="A1475" s="1">
        <v>2023</v>
      </c>
      <c r="B1475" s="1" t="s">
        <v>9</v>
      </c>
      <c r="C1475" s="1" t="s">
        <v>92</v>
      </c>
      <c r="D1475" s="1" t="s">
        <v>2602</v>
      </c>
      <c r="E1475" s="1" t="s">
        <v>2612</v>
      </c>
      <c r="F1475" s="1" t="s">
        <v>2613</v>
      </c>
      <c r="G1475" s="33">
        <v>1</v>
      </c>
      <c r="H1475" s="34">
        <v>0.25</v>
      </c>
      <c r="I1475" s="34">
        <v>0.33839999999999998</v>
      </c>
      <c r="J1475" s="31" t="s">
        <v>2239</v>
      </c>
    </row>
    <row r="1476" spans="1:10" ht="48">
      <c r="A1476" s="1">
        <v>2023</v>
      </c>
      <c r="B1476" s="1" t="s">
        <v>9</v>
      </c>
      <c r="C1476" s="1" t="s">
        <v>92</v>
      </c>
      <c r="D1476" s="1" t="s">
        <v>2602</v>
      </c>
      <c r="E1476" s="22" t="s">
        <v>2612</v>
      </c>
      <c r="F1476" s="1" t="s">
        <v>2613</v>
      </c>
      <c r="G1476" s="33">
        <v>0.25</v>
      </c>
      <c r="H1476" s="33">
        <v>0.21</v>
      </c>
      <c r="I1476" s="34">
        <v>0.47670000000000001</v>
      </c>
      <c r="J1476" s="31" t="s">
        <v>2239</v>
      </c>
    </row>
    <row r="1477" spans="1:10" ht="48">
      <c r="A1477" s="1">
        <v>2023</v>
      </c>
      <c r="B1477" s="1" t="s">
        <v>9</v>
      </c>
      <c r="C1477" s="1" t="s">
        <v>92</v>
      </c>
      <c r="D1477" s="1" t="s">
        <v>2602</v>
      </c>
      <c r="E1477" s="1" t="s">
        <v>2614</v>
      </c>
      <c r="F1477" s="1" t="s">
        <v>2615</v>
      </c>
      <c r="G1477" s="33">
        <v>0.25</v>
      </c>
      <c r="H1477" s="33">
        <v>0.17</v>
      </c>
      <c r="I1477" s="34">
        <v>0.33329999999999999</v>
      </c>
      <c r="J1477" s="31" t="s">
        <v>2239</v>
      </c>
    </row>
    <row r="1478" spans="1:10" ht="48">
      <c r="A1478" s="1">
        <v>2023</v>
      </c>
      <c r="B1478" s="1" t="s">
        <v>9</v>
      </c>
      <c r="C1478" s="1" t="s">
        <v>92</v>
      </c>
      <c r="D1478" s="1" t="s">
        <v>2602</v>
      </c>
      <c r="E1478" s="22" t="s">
        <v>2616</v>
      </c>
      <c r="F1478" s="1" t="s">
        <v>2334</v>
      </c>
      <c r="G1478" s="33">
        <v>0.25</v>
      </c>
      <c r="H1478" s="33">
        <v>0.17</v>
      </c>
      <c r="I1478" s="34">
        <v>0.33329999999999999</v>
      </c>
      <c r="J1478" s="31" t="s">
        <v>2239</v>
      </c>
    </row>
    <row r="1479" spans="1:10" ht="48">
      <c r="A1479" s="38">
        <v>2023</v>
      </c>
      <c r="B1479" s="1" t="s">
        <v>9</v>
      </c>
      <c r="C1479" s="38" t="s">
        <v>10</v>
      </c>
      <c r="D1479" s="2" t="s">
        <v>2617</v>
      </c>
      <c r="E1479" s="2" t="s">
        <v>2618</v>
      </c>
      <c r="F1479" s="38" t="s">
        <v>2619</v>
      </c>
      <c r="G1479" s="33">
        <v>0.25</v>
      </c>
      <c r="H1479" s="33">
        <v>0.33</v>
      </c>
      <c r="I1479" s="33">
        <v>0.5</v>
      </c>
      <c r="J1479" s="2" t="s">
        <v>2620</v>
      </c>
    </row>
    <row r="1480" spans="1:10" ht="48">
      <c r="A1480" s="1">
        <v>2023</v>
      </c>
      <c r="B1480" s="1" t="s">
        <v>9</v>
      </c>
      <c r="C1480" s="1" t="s">
        <v>10</v>
      </c>
      <c r="D1480" s="2" t="s">
        <v>2617</v>
      </c>
      <c r="E1480" s="1" t="s">
        <v>2621</v>
      </c>
      <c r="F1480" s="1" t="s">
        <v>2622</v>
      </c>
      <c r="G1480" s="33">
        <v>0.25</v>
      </c>
      <c r="H1480" s="33">
        <v>0.25</v>
      </c>
      <c r="I1480" s="33">
        <v>0.33839999999999998</v>
      </c>
      <c r="J1480" s="1" t="s">
        <v>2620</v>
      </c>
    </row>
    <row r="1481" spans="1:10" ht="108">
      <c r="A1481" s="1">
        <v>2023</v>
      </c>
      <c r="B1481" s="1" t="s">
        <v>9</v>
      </c>
      <c r="C1481" s="1" t="s">
        <v>10</v>
      </c>
      <c r="D1481" s="2" t="s">
        <v>2617</v>
      </c>
      <c r="E1481" s="1" t="s">
        <v>2623</v>
      </c>
      <c r="F1481" s="1" t="s">
        <v>1679</v>
      </c>
      <c r="G1481" s="14">
        <v>48</v>
      </c>
      <c r="H1481" s="3">
        <f t="shared" ref="H1481:H1483" si="388">8.33%+8.33%+8.34%</f>
        <v>0.25</v>
      </c>
      <c r="I1481" s="3">
        <f t="shared" ref="I1481:I1483" si="389">10%+10%+5%</f>
        <v>0.25</v>
      </c>
      <c r="J1481" s="1" t="s">
        <v>2620</v>
      </c>
    </row>
    <row r="1482" spans="1:10" ht="96">
      <c r="A1482" s="1">
        <v>2023</v>
      </c>
      <c r="B1482" s="1" t="s">
        <v>9</v>
      </c>
      <c r="C1482" s="1" t="s">
        <v>10</v>
      </c>
      <c r="D1482" s="2" t="s">
        <v>2617</v>
      </c>
      <c r="E1482" s="1" t="s">
        <v>2624</v>
      </c>
      <c r="F1482" s="1" t="s">
        <v>2625</v>
      </c>
      <c r="G1482" s="14">
        <v>48</v>
      </c>
      <c r="H1482" s="3">
        <f t="shared" si="388"/>
        <v>0.25</v>
      </c>
      <c r="I1482" s="3">
        <f t="shared" si="389"/>
        <v>0.25</v>
      </c>
      <c r="J1482" s="1" t="s">
        <v>2620</v>
      </c>
    </row>
    <row r="1483" spans="1:10" ht="84">
      <c r="A1483" s="1">
        <v>2023</v>
      </c>
      <c r="B1483" s="1" t="s">
        <v>9</v>
      </c>
      <c r="C1483" s="1" t="s">
        <v>10</v>
      </c>
      <c r="D1483" s="2" t="s">
        <v>2617</v>
      </c>
      <c r="E1483" s="1" t="s">
        <v>2626</v>
      </c>
      <c r="F1483" s="1" t="s">
        <v>1679</v>
      </c>
      <c r="G1483" s="14">
        <v>48</v>
      </c>
      <c r="H1483" s="3">
        <f t="shared" si="388"/>
        <v>0.25</v>
      </c>
      <c r="I1483" s="3">
        <f t="shared" si="389"/>
        <v>0.25</v>
      </c>
      <c r="J1483" s="1" t="s">
        <v>2620</v>
      </c>
    </row>
    <row r="1484" spans="1:10" ht="48">
      <c r="A1484" s="1">
        <v>2023</v>
      </c>
      <c r="B1484" s="1" t="s">
        <v>9</v>
      </c>
      <c r="C1484" s="1" t="s">
        <v>10</v>
      </c>
      <c r="D1484" s="2" t="s">
        <v>2617</v>
      </c>
      <c r="E1484" s="1" t="s">
        <v>2627</v>
      </c>
      <c r="F1484" s="1" t="s">
        <v>1679</v>
      </c>
      <c r="G1484" s="14">
        <v>4</v>
      </c>
      <c r="H1484" s="3">
        <f t="shared" ref="H1484:I1484" si="390">0%+0%+25%</f>
        <v>0.25</v>
      </c>
      <c r="I1484" s="3">
        <f t="shared" si="390"/>
        <v>0.25</v>
      </c>
      <c r="J1484" s="1" t="s">
        <v>2620</v>
      </c>
    </row>
    <row r="1485" spans="1:10" ht="48">
      <c r="A1485" s="1">
        <v>2023</v>
      </c>
      <c r="B1485" s="1" t="s">
        <v>9</v>
      </c>
      <c r="C1485" s="1" t="s">
        <v>10</v>
      </c>
      <c r="D1485" s="2" t="s">
        <v>2617</v>
      </c>
      <c r="E1485" s="1" t="s">
        <v>2628</v>
      </c>
      <c r="F1485" s="1" t="s">
        <v>2629</v>
      </c>
      <c r="G1485" s="14">
        <v>16</v>
      </c>
      <c r="H1485" s="3">
        <f>5%+10%+10%</f>
        <v>0.25</v>
      </c>
      <c r="I1485" s="3">
        <f>10%+10%+5%</f>
        <v>0.25</v>
      </c>
      <c r="J1485" s="1" t="s">
        <v>2620</v>
      </c>
    </row>
    <row r="1486" spans="1:10" ht="60">
      <c r="A1486" s="1">
        <v>2023</v>
      </c>
      <c r="B1486" s="1" t="s">
        <v>9</v>
      </c>
      <c r="C1486" s="1" t="s">
        <v>10</v>
      </c>
      <c r="D1486" s="2" t="s">
        <v>2617</v>
      </c>
      <c r="E1486" s="1" t="s">
        <v>2630</v>
      </c>
      <c r="F1486" s="1" t="s">
        <v>2629</v>
      </c>
      <c r="G1486" s="14">
        <v>16</v>
      </c>
      <c r="H1486" s="3">
        <f t="shared" ref="H1486:I1486" si="391">10%+10%+5%</f>
        <v>0.25</v>
      </c>
      <c r="I1486" s="3">
        <f t="shared" si="391"/>
        <v>0.25</v>
      </c>
      <c r="J1486" s="1" t="s">
        <v>2620</v>
      </c>
    </row>
    <row r="1487" spans="1:10" ht="72">
      <c r="A1487" s="1">
        <v>2023</v>
      </c>
      <c r="B1487" s="1" t="s">
        <v>9</v>
      </c>
      <c r="C1487" s="1" t="s">
        <v>10</v>
      </c>
      <c r="D1487" s="2" t="s">
        <v>2617</v>
      </c>
      <c r="E1487" s="1" t="s">
        <v>2631</v>
      </c>
      <c r="F1487" s="1" t="s">
        <v>2629</v>
      </c>
      <c r="G1487" s="14">
        <v>16</v>
      </c>
      <c r="H1487" s="3">
        <f>5%+10%+10%</f>
        <v>0.25</v>
      </c>
      <c r="I1487" s="3">
        <f>10%+10%+5%</f>
        <v>0.25</v>
      </c>
      <c r="J1487" s="1" t="s">
        <v>2620</v>
      </c>
    </row>
    <row r="1488" spans="1:10" ht="48">
      <c r="A1488" s="1">
        <v>2023</v>
      </c>
      <c r="B1488" s="1" t="s">
        <v>9</v>
      </c>
      <c r="C1488" s="1" t="s">
        <v>10</v>
      </c>
      <c r="D1488" s="2" t="s">
        <v>2617</v>
      </c>
      <c r="E1488" s="1" t="s">
        <v>2632</v>
      </c>
      <c r="F1488" s="1" t="s">
        <v>2629</v>
      </c>
      <c r="G1488" s="14">
        <v>4</v>
      </c>
      <c r="H1488" s="3">
        <f>0%+0%+25%</f>
        <v>0.25</v>
      </c>
      <c r="I1488" s="3">
        <f>0%+0%+0%</f>
        <v>0</v>
      </c>
      <c r="J1488" s="1" t="s">
        <v>2620</v>
      </c>
    </row>
    <row r="1489" spans="1:10" ht="36">
      <c r="A1489" s="1">
        <v>2023</v>
      </c>
      <c r="B1489" s="1" t="s">
        <v>9</v>
      </c>
      <c r="C1489" s="1" t="s">
        <v>766</v>
      </c>
      <c r="D1489" s="2" t="s">
        <v>2633</v>
      </c>
      <c r="E1489" s="1" t="s">
        <v>2634</v>
      </c>
      <c r="F1489" s="1" t="s">
        <v>2635</v>
      </c>
      <c r="G1489" s="2">
        <v>0</v>
      </c>
      <c r="H1489" s="3">
        <f t="shared" ref="H1489:I1489" si="392">100%</f>
        <v>1</v>
      </c>
      <c r="I1489" s="3">
        <f t="shared" si="392"/>
        <v>1</v>
      </c>
      <c r="J1489" s="1" t="s">
        <v>2636</v>
      </c>
    </row>
    <row r="1490" spans="1:10" ht="36">
      <c r="A1490" s="1">
        <v>2023</v>
      </c>
      <c r="B1490" s="1" t="s">
        <v>9</v>
      </c>
      <c r="C1490" s="1" t="s">
        <v>766</v>
      </c>
      <c r="D1490" s="2" t="s">
        <v>2633</v>
      </c>
      <c r="E1490" s="1" t="s">
        <v>2637</v>
      </c>
      <c r="F1490" s="1" t="s">
        <v>2638</v>
      </c>
      <c r="G1490" s="2">
        <v>0</v>
      </c>
      <c r="H1490" s="11">
        <v>127</v>
      </c>
      <c r="I1490" s="11">
        <v>127</v>
      </c>
      <c r="J1490" s="1" t="s">
        <v>2636</v>
      </c>
    </row>
    <row r="1491" spans="1:10" ht="36">
      <c r="A1491" s="1">
        <v>2023</v>
      </c>
      <c r="B1491" s="1" t="s">
        <v>9</v>
      </c>
      <c r="C1491" s="1" t="s">
        <v>766</v>
      </c>
      <c r="D1491" s="2" t="s">
        <v>2633</v>
      </c>
      <c r="E1491" s="1" t="s">
        <v>2639</v>
      </c>
      <c r="F1491" s="1" t="s">
        <v>2640</v>
      </c>
      <c r="G1491" s="14">
        <v>2</v>
      </c>
      <c r="H1491" s="3">
        <f t="shared" ref="H1491:I1491" si="393">0%+0%+0%</f>
        <v>0</v>
      </c>
      <c r="I1491" s="3">
        <f t="shared" si="393"/>
        <v>0</v>
      </c>
      <c r="J1491" s="1" t="s">
        <v>2636</v>
      </c>
    </row>
    <row r="1492" spans="1:10" ht="36">
      <c r="A1492" s="1">
        <v>2023</v>
      </c>
      <c r="B1492" s="1" t="s">
        <v>9</v>
      </c>
      <c r="C1492" s="1" t="s">
        <v>766</v>
      </c>
      <c r="D1492" s="2" t="s">
        <v>2633</v>
      </c>
      <c r="E1492" s="1" t="s">
        <v>2639</v>
      </c>
      <c r="F1492" s="1" t="s">
        <v>2640</v>
      </c>
      <c r="G1492" s="14">
        <v>61</v>
      </c>
      <c r="H1492" s="3">
        <f>8%+8%+9%</f>
        <v>0.25</v>
      </c>
      <c r="I1492" s="3">
        <f>0%+15%+15%</f>
        <v>0.3</v>
      </c>
      <c r="J1492" s="1" t="s">
        <v>2636</v>
      </c>
    </row>
    <row r="1493" spans="1:10" ht="36">
      <c r="A1493" s="1">
        <v>2023</v>
      </c>
      <c r="B1493" s="1" t="s">
        <v>9</v>
      </c>
      <c r="C1493" s="1" t="s">
        <v>766</v>
      </c>
      <c r="D1493" s="2" t="s">
        <v>2633</v>
      </c>
      <c r="E1493" s="1" t="s">
        <v>2639</v>
      </c>
      <c r="F1493" s="1" t="s">
        <v>2640</v>
      </c>
      <c r="G1493" s="14">
        <v>64</v>
      </c>
      <c r="H1493" s="3">
        <f t="shared" ref="H1493:I1493" si="394">0%+0%+0%</f>
        <v>0</v>
      </c>
      <c r="I1493" s="3">
        <f t="shared" si="394"/>
        <v>0</v>
      </c>
      <c r="J1493" s="1" t="s">
        <v>2636</v>
      </c>
    </row>
    <row r="1494" spans="1:10" ht="36">
      <c r="A1494" s="1">
        <v>2023</v>
      </c>
      <c r="B1494" s="1" t="s">
        <v>9</v>
      </c>
      <c r="C1494" s="1" t="s">
        <v>766</v>
      </c>
      <c r="D1494" s="2" t="s">
        <v>2633</v>
      </c>
      <c r="E1494" s="1" t="s">
        <v>2641</v>
      </c>
      <c r="F1494" s="1" t="s">
        <v>2642</v>
      </c>
      <c r="G1494" s="2">
        <v>1</v>
      </c>
      <c r="H1494" s="2">
        <f t="shared" ref="H1494:I1494" si="395">0+0+0</f>
        <v>0</v>
      </c>
      <c r="I1494" s="2">
        <f t="shared" si="395"/>
        <v>0</v>
      </c>
      <c r="J1494" s="1" t="s">
        <v>2636</v>
      </c>
    </row>
    <row r="1495" spans="1:10" ht="48">
      <c r="A1495" s="1">
        <v>2023</v>
      </c>
      <c r="B1495" s="1" t="s">
        <v>9</v>
      </c>
      <c r="C1495" s="1" t="s">
        <v>766</v>
      </c>
      <c r="D1495" s="2" t="s">
        <v>2633</v>
      </c>
      <c r="E1495" s="1" t="s">
        <v>2643</v>
      </c>
      <c r="F1495" s="1" t="s">
        <v>2644</v>
      </c>
      <c r="G1495" s="2">
        <v>1</v>
      </c>
      <c r="H1495" s="2">
        <f t="shared" ref="H1495:I1495" si="396">0+0+0</f>
        <v>0</v>
      </c>
      <c r="I1495" s="2">
        <f t="shared" si="396"/>
        <v>0</v>
      </c>
      <c r="J1495" s="1" t="s">
        <v>2636</v>
      </c>
    </row>
    <row r="1496" spans="1:10" ht="36">
      <c r="A1496" s="1">
        <v>2023</v>
      </c>
      <c r="B1496" s="1" t="s">
        <v>9</v>
      </c>
      <c r="C1496" s="1" t="s">
        <v>766</v>
      </c>
      <c r="D1496" s="2" t="s">
        <v>2633</v>
      </c>
      <c r="E1496" s="1" t="s">
        <v>2645</v>
      </c>
      <c r="F1496" s="1" t="s">
        <v>2646</v>
      </c>
      <c r="G1496" s="2">
        <v>1</v>
      </c>
      <c r="H1496" s="2">
        <f t="shared" ref="H1496:I1496" si="397">0+0+0</f>
        <v>0</v>
      </c>
      <c r="I1496" s="2">
        <f t="shared" si="397"/>
        <v>0</v>
      </c>
      <c r="J1496" s="1" t="s">
        <v>2636</v>
      </c>
    </row>
    <row r="1497" spans="1:10" ht="36">
      <c r="A1497" s="1">
        <v>2023</v>
      </c>
      <c r="B1497" s="1" t="s">
        <v>9</v>
      </c>
      <c r="C1497" s="1" t="s">
        <v>766</v>
      </c>
      <c r="D1497" s="2" t="s">
        <v>2633</v>
      </c>
      <c r="E1497" s="1" t="s">
        <v>2641</v>
      </c>
      <c r="F1497" s="1" t="s">
        <v>2642</v>
      </c>
      <c r="G1497" s="2">
        <v>20</v>
      </c>
      <c r="H1497" s="2">
        <f t="shared" ref="H1497:H1499" si="398">5+5+6</f>
        <v>16</v>
      </c>
      <c r="I1497" s="2">
        <f t="shared" ref="I1497:I1498" si="399">6+6+34</f>
        <v>46</v>
      </c>
      <c r="J1497" s="1" t="s">
        <v>2636</v>
      </c>
    </row>
    <row r="1498" spans="1:10" ht="48">
      <c r="A1498" s="1">
        <v>2023</v>
      </c>
      <c r="B1498" s="1" t="s">
        <v>9</v>
      </c>
      <c r="C1498" s="1" t="s">
        <v>766</v>
      </c>
      <c r="D1498" s="2" t="s">
        <v>2633</v>
      </c>
      <c r="E1498" s="1" t="s">
        <v>2643</v>
      </c>
      <c r="F1498" s="1" t="s">
        <v>2644</v>
      </c>
      <c r="G1498" s="2">
        <v>20</v>
      </c>
      <c r="H1498" s="2">
        <f t="shared" si="398"/>
        <v>16</v>
      </c>
      <c r="I1498" s="2">
        <f t="shared" si="399"/>
        <v>46</v>
      </c>
      <c r="J1498" s="1" t="s">
        <v>2636</v>
      </c>
    </row>
    <row r="1499" spans="1:10" ht="36">
      <c r="A1499" s="1">
        <v>2023</v>
      </c>
      <c r="B1499" s="1" t="s">
        <v>9</v>
      </c>
      <c r="C1499" s="1" t="s">
        <v>766</v>
      </c>
      <c r="D1499" s="2" t="s">
        <v>2633</v>
      </c>
      <c r="E1499" s="1" t="s">
        <v>2647</v>
      </c>
      <c r="F1499" s="1" t="s">
        <v>2648</v>
      </c>
      <c r="G1499" s="2">
        <v>20</v>
      </c>
      <c r="H1499" s="2">
        <f t="shared" si="398"/>
        <v>16</v>
      </c>
      <c r="I1499" s="2">
        <f>33+1+0</f>
        <v>34</v>
      </c>
      <c r="J1499" s="1" t="s">
        <v>2636</v>
      </c>
    </row>
    <row r="1500" spans="1:10" ht="36">
      <c r="A1500" s="1">
        <v>2023</v>
      </c>
      <c r="B1500" s="1" t="s">
        <v>9</v>
      </c>
      <c r="C1500" s="1" t="s">
        <v>766</v>
      </c>
      <c r="D1500" s="2" t="s">
        <v>2633</v>
      </c>
      <c r="E1500" s="1" t="s">
        <v>2641</v>
      </c>
      <c r="F1500" s="1" t="s">
        <v>2642</v>
      </c>
      <c r="G1500" s="2">
        <v>32</v>
      </c>
      <c r="H1500" s="2">
        <f t="shared" ref="H1500:H1501" si="400">15+17+16</f>
        <v>48</v>
      </c>
      <c r="I1500" s="2">
        <f t="shared" ref="I1500:I1501" si="401">0+0+0</f>
        <v>0</v>
      </c>
      <c r="J1500" s="1" t="s">
        <v>2636</v>
      </c>
    </row>
    <row r="1501" spans="1:10" ht="48">
      <c r="A1501" s="1">
        <v>2023</v>
      </c>
      <c r="B1501" s="1" t="s">
        <v>9</v>
      </c>
      <c r="C1501" s="1" t="s">
        <v>766</v>
      </c>
      <c r="D1501" s="2" t="s">
        <v>2633</v>
      </c>
      <c r="E1501" s="1" t="s">
        <v>2643</v>
      </c>
      <c r="F1501" s="1" t="s">
        <v>2644</v>
      </c>
      <c r="G1501" s="2">
        <v>32</v>
      </c>
      <c r="H1501" s="2">
        <f t="shared" si="400"/>
        <v>48</v>
      </c>
      <c r="I1501" s="2">
        <f t="shared" si="401"/>
        <v>0</v>
      </c>
      <c r="J1501" s="1" t="s">
        <v>2636</v>
      </c>
    </row>
    <row r="1502" spans="1:10" ht="60">
      <c r="A1502" s="1">
        <v>2023</v>
      </c>
      <c r="B1502" s="1" t="s">
        <v>9</v>
      </c>
      <c r="C1502" s="1" t="s">
        <v>2649</v>
      </c>
      <c r="D1502" s="2" t="s">
        <v>2650</v>
      </c>
      <c r="E1502" s="1" t="s">
        <v>2651</v>
      </c>
      <c r="F1502" s="1" t="s">
        <v>2652</v>
      </c>
      <c r="G1502" s="2">
        <v>0</v>
      </c>
      <c r="H1502" s="3">
        <f t="shared" ref="H1502:H1503" si="402">0%+0%+100%</f>
        <v>1</v>
      </c>
      <c r="I1502" s="3">
        <f>100%</f>
        <v>1</v>
      </c>
      <c r="J1502" s="1" t="s">
        <v>2653</v>
      </c>
    </row>
    <row r="1503" spans="1:10" ht="60">
      <c r="A1503" s="1">
        <v>2023</v>
      </c>
      <c r="B1503" s="1" t="s">
        <v>9</v>
      </c>
      <c r="C1503" s="1" t="s">
        <v>2649</v>
      </c>
      <c r="D1503" s="2" t="s">
        <v>2650</v>
      </c>
      <c r="E1503" s="1" t="s">
        <v>2654</v>
      </c>
      <c r="F1503" s="1" t="s">
        <v>2655</v>
      </c>
      <c r="G1503" s="2">
        <v>0</v>
      </c>
      <c r="H1503" s="3">
        <f t="shared" si="402"/>
        <v>1</v>
      </c>
      <c r="I1503" s="3">
        <v>1</v>
      </c>
      <c r="J1503" s="1" t="s">
        <v>2653</v>
      </c>
    </row>
    <row r="1504" spans="1:10" ht="60">
      <c r="A1504" s="1">
        <v>2023</v>
      </c>
      <c r="B1504" s="1" t="s">
        <v>9</v>
      </c>
      <c r="C1504" s="1" t="s">
        <v>2649</v>
      </c>
      <c r="D1504" s="2" t="s">
        <v>2650</v>
      </c>
      <c r="E1504" s="1" t="s">
        <v>2656</v>
      </c>
      <c r="F1504" s="1" t="s">
        <v>2657</v>
      </c>
      <c r="G1504" s="2">
        <v>2001</v>
      </c>
      <c r="H1504" s="2">
        <f>95+100+95</f>
        <v>290</v>
      </c>
      <c r="I1504" s="11">
        <f>0+11+11</f>
        <v>22</v>
      </c>
      <c r="J1504" s="1" t="s">
        <v>2653</v>
      </c>
    </row>
    <row r="1505" spans="1:10" ht="60">
      <c r="A1505" s="1">
        <v>2023</v>
      </c>
      <c r="B1505" s="1" t="s">
        <v>9</v>
      </c>
      <c r="C1505" s="1" t="s">
        <v>2649</v>
      </c>
      <c r="D1505" s="2" t="s">
        <v>2650</v>
      </c>
      <c r="E1505" s="1" t="s">
        <v>2658</v>
      </c>
      <c r="F1505" s="1" t="s">
        <v>2659</v>
      </c>
      <c r="G1505" s="2">
        <v>1138</v>
      </c>
      <c r="H1505" s="2">
        <f>120+120+120</f>
        <v>360</v>
      </c>
      <c r="I1505" s="2">
        <f>11+25+12</f>
        <v>48</v>
      </c>
      <c r="J1505" s="1" t="s">
        <v>2653</v>
      </c>
    </row>
    <row r="1506" spans="1:10" ht="60">
      <c r="A1506" s="1">
        <v>2023</v>
      </c>
      <c r="B1506" s="1" t="s">
        <v>9</v>
      </c>
      <c r="C1506" s="1" t="s">
        <v>2649</v>
      </c>
      <c r="D1506" s="2" t="s">
        <v>2650</v>
      </c>
      <c r="E1506" s="1" t="s">
        <v>2660</v>
      </c>
      <c r="F1506" s="1" t="s">
        <v>2659</v>
      </c>
      <c r="G1506" s="2">
        <v>4</v>
      </c>
      <c r="H1506" s="2">
        <f>1+0+1</f>
        <v>2</v>
      </c>
      <c r="I1506" s="2">
        <f>0+1+1</f>
        <v>2</v>
      </c>
      <c r="J1506" s="1" t="s">
        <v>2653</v>
      </c>
    </row>
    <row r="1507" spans="1:10" ht="60">
      <c r="A1507" s="1">
        <v>2023</v>
      </c>
      <c r="B1507" s="1" t="s">
        <v>9</v>
      </c>
      <c r="C1507" s="1" t="s">
        <v>2649</v>
      </c>
      <c r="D1507" s="2" t="s">
        <v>2650</v>
      </c>
      <c r="E1507" s="1" t="s">
        <v>2661</v>
      </c>
      <c r="F1507" s="1" t="s">
        <v>2662</v>
      </c>
      <c r="G1507" s="2">
        <v>297</v>
      </c>
      <c r="H1507" s="2">
        <f>29+29+29</f>
        <v>87</v>
      </c>
      <c r="I1507" s="2">
        <f>33+38+5</f>
        <v>76</v>
      </c>
      <c r="J1507" s="1" t="s">
        <v>2653</v>
      </c>
    </row>
    <row r="1508" spans="1:10" ht="60">
      <c r="A1508" s="1">
        <v>2023</v>
      </c>
      <c r="B1508" s="1" t="s">
        <v>9</v>
      </c>
      <c r="C1508" s="1" t="s">
        <v>2649</v>
      </c>
      <c r="D1508" s="2" t="s">
        <v>2650</v>
      </c>
      <c r="E1508" s="1" t="s">
        <v>2663</v>
      </c>
      <c r="F1508" s="1" t="s">
        <v>2664</v>
      </c>
      <c r="G1508" s="2">
        <v>1001</v>
      </c>
      <c r="H1508" s="2">
        <f>3+4+2</f>
        <v>9</v>
      </c>
      <c r="I1508" s="2">
        <f>0+11+11</f>
        <v>22</v>
      </c>
      <c r="J1508" s="1" t="s">
        <v>2653</v>
      </c>
    </row>
    <row r="1509" spans="1:10" ht="60">
      <c r="A1509" s="1">
        <v>2023</v>
      </c>
      <c r="B1509" s="1" t="s">
        <v>9</v>
      </c>
      <c r="C1509" s="1" t="s">
        <v>2649</v>
      </c>
      <c r="D1509" s="2" t="s">
        <v>2650</v>
      </c>
      <c r="E1509" s="1" t="s">
        <v>2665</v>
      </c>
      <c r="F1509" s="1" t="s">
        <v>2666</v>
      </c>
      <c r="G1509" s="2">
        <v>1000</v>
      </c>
      <c r="H1509" s="2">
        <f>15+25+25</f>
        <v>65</v>
      </c>
      <c r="I1509" s="2">
        <f>11+25+12</f>
        <v>48</v>
      </c>
      <c r="J1509" s="1" t="s">
        <v>2653</v>
      </c>
    </row>
    <row r="1510" spans="1:10" ht="60">
      <c r="A1510" s="1">
        <v>2023</v>
      </c>
      <c r="B1510" s="1" t="s">
        <v>9</v>
      </c>
      <c r="C1510" s="1" t="s">
        <v>2649</v>
      </c>
      <c r="D1510" s="2" t="s">
        <v>2650</v>
      </c>
      <c r="E1510" s="1" t="s">
        <v>2667</v>
      </c>
      <c r="F1510" s="1" t="s">
        <v>2668</v>
      </c>
      <c r="G1510" s="2">
        <v>2</v>
      </c>
      <c r="H1510" s="2">
        <f>0+0+0</f>
        <v>0</v>
      </c>
      <c r="I1510" s="2">
        <f>0+1+1</f>
        <v>2</v>
      </c>
      <c r="J1510" s="1" t="s">
        <v>2653</v>
      </c>
    </row>
    <row r="1511" spans="1:10" ht="60">
      <c r="A1511" s="1">
        <v>2023</v>
      </c>
      <c r="B1511" s="1" t="s">
        <v>9</v>
      </c>
      <c r="C1511" s="1" t="s">
        <v>2649</v>
      </c>
      <c r="D1511" s="2" t="s">
        <v>2650</v>
      </c>
      <c r="E1511" s="1" t="s">
        <v>2669</v>
      </c>
      <c r="F1511" s="1" t="s">
        <v>2670</v>
      </c>
      <c r="G1511" s="2">
        <v>149</v>
      </c>
      <c r="H1511" s="2">
        <f>15+14+10</f>
        <v>39</v>
      </c>
      <c r="I1511" s="2">
        <f>33+38+5</f>
        <v>76</v>
      </c>
      <c r="J1511" s="1" t="s">
        <v>2653</v>
      </c>
    </row>
    <row r="1512" spans="1:10" ht="48">
      <c r="A1512" s="1">
        <v>2023</v>
      </c>
      <c r="B1512" s="1" t="s">
        <v>9</v>
      </c>
      <c r="C1512" s="1" t="s">
        <v>2671</v>
      </c>
      <c r="D1512" s="2" t="s">
        <v>2672</v>
      </c>
      <c r="E1512" s="1" t="s">
        <v>2673</v>
      </c>
      <c r="F1512" s="1" t="s">
        <v>2674</v>
      </c>
      <c r="G1512" s="2">
        <v>0</v>
      </c>
      <c r="H1512" s="3">
        <f t="shared" ref="H1512:I1512" si="403">0%+0%+100%</f>
        <v>1</v>
      </c>
      <c r="I1512" s="3">
        <f t="shared" si="403"/>
        <v>1</v>
      </c>
      <c r="J1512" s="1" t="s">
        <v>2675</v>
      </c>
    </row>
    <row r="1513" spans="1:10" ht="36">
      <c r="A1513" s="1">
        <v>2023</v>
      </c>
      <c r="B1513" s="1" t="s">
        <v>9</v>
      </c>
      <c r="C1513" s="1" t="s">
        <v>2671</v>
      </c>
      <c r="D1513" s="2" t="s">
        <v>2672</v>
      </c>
      <c r="E1513" s="1" t="s">
        <v>2676</v>
      </c>
      <c r="F1513" s="1" t="s">
        <v>2677</v>
      </c>
      <c r="G1513" s="2">
        <v>0</v>
      </c>
      <c r="H1513" s="3">
        <f t="shared" ref="H1513:I1513" si="404">0%+0%+100%</f>
        <v>1</v>
      </c>
      <c r="I1513" s="3">
        <f t="shared" si="404"/>
        <v>1</v>
      </c>
      <c r="J1513" s="1" t="s">
        <v>2675</v>
      </c>
    </row>
    <row r="1514" spans="1:10" ht="36">
      <c r="A1514" s="1">
        <v>2023</v>
      </c>
      <c r="B1514" s="1" t="s">
        <v>9</v>
      </c>
      <c r="C1514" s="1" t="s">
        <v>2671</v>
      </c>
      <c r="D1514" s="2" t="s">
        <v>2672</v>
      </c>
      <c r="E1514" s="1" t="s">
        <v>2678</v>
      </c>
      <c r="F1514" s="1" t="s">
        <v>2679</v>
      </c>
      <c r="G1514" s="14">
        <v>36</v>
      </c>
      <c r="H1514" s="3">
        <f>0%+0%+43%</f>
        <v>0.43</v>
      </c>
      <c r="I1514" s="3">
        <f>9%+9%+6%</f>
        <v>0.24</v>
      </c>
      <c r="J1514" s="1" t="s">
        <v>2675</v>
      </c>
    </row>
    <row r="1515" spans="1:10" ht="36">
      <c r="A1515" s="1">
        <v>2023</v>
      </c>
      <c r="B1515" s="1" t="s">
        <v>9</v>
      </c>
      <c r="C1515" s="1" t="s">
        <v>2671</v>
      </c>
      <c r="D1515" s="2" t="s">
        <v>2672</v>
      </c>
      <c r="E1515" s="1" t="s">
        <v>2680</v>
      </c>
      <c r="F1515" s="1" t="s">
        <v>2681</v>
      </c>
      <c r="G1515" s="14">
        <v>58</v>
      </c>
      <c r="H1515" s="3">
        <f>0%+0%+26%</f>
        <v>0.26</v>
      </c>
      <c r="I1515" s="3">
        <f>0%+0%+40%</f>
        <v>0.4</v>
      </c>
      <c r="J1515" s="1" t="s">
        <v>2675</v>
      </c>
    </row>
    <row r="1516" spans="1:10" ht="36">
      <c r="A1516" s="1">
        <v>2023</v>
      </c>
      <c r="B1516" s="1" t="s">
        <v>9</v>
      </c>
      <c r="C1516" s="1" t="s">
        <v>2671</v>
      </c>
      <c r="D1516" s="2" t="s">
        <v>2672</v>
      </c>
      <c r="E1516" s="1" t="s">
        <v>2682</v>
      </c>
      <c r="F1516" s="1" t="s">
        <v>2683</v>
      </c>
      <c r="G1516" s="2">
        <v>18</v>
      </c>
      <c r="H1516" s="2">
        <v>3</v>
      </c>
      <c r="I1516" s="2">
        <f>5+7+1</f>
        <v>13</v>
      </c>
      <c r="J1516" s="1" t="s">
        <v>2675</v>
      </c>
    </row>
    <row r="1517" spans="1:10" ht="60">
      <c r="A1517" s="1">
        <v>2023</v>
      </c>
      <c r="B1517" s="1" t="s">
        <v>9</v>
      </c>
      <c r="C1517" s="1" t="s">
        <v>2671</v>
      </c>
      <c r="D1517" s="2" t="s">
        <v>2672</v>
      </c>
      <c r="E1517" s="1" t="s">
        <v>2684</v>
      </c>
      <c r="F1517" s="1" t="s">
        <v>2685</v>
      </c>
      <c r="G1517" s="2">
        <v>18</v>
      </c>
      <c r="H1517" s="2">
        <v>3</v>
      </c>
      <c r="I1517" s="2">
        <f>0+0+18</f>
        <v>18</v>
      </c>
      <c r="J1517" s="1" t="s">
        <v>2675</v>
      </c>
    </row>
    <row r="1518" spans="1:10" ht="36">
      <c r="A1518" s="1">
        <v>2023</v>
      </c>
      <c r="B1518" s="1" t="s">
        <v>9</v>
      </c>
      <c r="C1518" s="1" t="s">
        <v>2671</v>
      </c>
      <c r="D1518" s="2" t="s">
        <v>2672</v>
      </c>
      <c r="E1518" s="1" t="s">
        <v>2686</v>
      </c>
      <c r="F1518" s="1" t="s">
        <v>2687</v>
      </c>
      <c r="G1518" s="2">
        <v>29</v>
      </c>
      <c r="H1518" s="2">
        <f t="shared" ref="H1518:H1519" si="405">0+0+8</f>
        <v>8</v>
      </c>
      <c r="I1518" s="2">
        <f>9+1+0</f>
        <v>10</v>
      </c>
      <c r="J1518" s="1" t="s">
        <v>2675</v>
      </c>
    </row>
    <row r="1519" spans="1:10" ht="36">
      <c r="A1519" s="1">
        <v>2023</v>
      </c>
      <c r="B1519" s="1" t="s">
        <v>9</v>
      </c>
      <c r="C1519" s="1" t="s">
        <v>2671</v>
      </c>
      <c r="D1519" s="2" t="s">
        <v>2672</v>
      </c>
      <c r="E1519" s="1" t="s">
        <v>2688</v>
      </c>
      <c r="F1519" s="1" t="s">
        <v>2689</v>
      </c>
      <c r="G1519" s="2">
        <v>29</v>
      </c>
      <c r="H1519" s="2">
        <f t="shared" si="405"/>
        <v>8</v>
      </c>
      <c r="I1519" s="2">
        <f>1+1+1</f>
        <v>3</v>
      </c>
      <c r="J1519" s="1" t="s">
        <v>2675</v>
      </c>
    </row>
    <row r="1520" spans="1:10" ht="36">
      <c r="A1520" s="1">
        <v>2023</v>
      </c>
      <c r="B1520" s="1" t="s">
        <v>9</v>
      </c>
      <c r="C1520" s="1" t="s">
        <v>2671</v>
      </c>
      <c r="D1520" s="2" t="s">
        <v>2690</v>
      </c>
      <c r="E1520" s="1" t="s">
        <v>2691</v>
      </c>
      <c r="F1520" s="1" t="s">
        <v>2692</v>
      </c>
      <c r="G1520" s="2">
        <v>0</v>
      </c>
      <c r="H1520" s="3">
        <f t="shared" ref="H1520:I1520" si="406">0%+0%+100%</f>
        <v>1</v>
      </c>
      <c r="I1520" s="3">
        <f t="shared" si="406"/>
        <v>1</v>
      </c>
      <c r="J1520" s="1" t="s">
        <v>2693</v>
      </c>
    </row>
    <row r="1521" spans="1:10" ht="48">
      <c r="A1521" s="1">
        <v>2023</v>
      </c>
      <c r="B1521" s="1" t="s">
        <v>9</v>
      </c>
      <c r="C1521" s="1" t="s">
        <v>2671</v>
      </c>
      <c r="D1521" s="2" t="s">
        <v>2690</v>
      </c>
      <c r="E1521" s="1" t="s">
        <v>2694</v>
      </c>
      <c r="F1521" s="1" t="s">
        <v>2695</v>
      </c>
      <c r="G1521" s="2">
        <v>0</v>
      </c>
      <c r="H1521" s="3">
        <f>0%+0%+100%</f>
        <v>1</v>
      </c>
      <c r="I1521" s="3">
        <f t="shared" ref="I1521:I1522" si="407">0%+0%+0%</f>
        <v>0</v>
      </c>
      <c r="J1521" s="1" t="s">
        <v>2693</v>
      </c>
    </row>
    <row r="1522" spans="1:10" ht="60">
      <c r="A1522" s="1">
        <v>2023</v>
      </c>
      <c r="B1522" s="1" t="s">
        <v>9</v>
      </c>
      <c r="C1522" s="1" t="s">
        <v>2671</v>
      </c>
      <c r="D1522" s="2" t="s">
        <v>2690</v>
      </c>
      <c r="E1522" s="1" t="s">
        <v>2696</v>
      </c>
      <c r="F1522" s="1" t="s">
        <v>2697</v>
      </c>
      <c r="G1522" s="11">
        <v>12</v>
      </c>
      <c r="H1522" s="3">
        <f>8.33%+8.33%+8.34%</f>
        <v>0.25</v>
      </c>
      <c r="I1522" s="3">
        <f t="shared" si="407"/>
        <v>0</v>
      </c>
      <c r="J1522" s="1" t="s">
        <v>2693</v>
      </c>
    </row>
    <row r="1523" spans="1:10" ht="48">
      <c r="A1523" s="1">
        <v>2023</v>
      </c>
      <c r="B1523" s="1" t="s">
        <v>9</v>
      </c>
      <c r="C1523" s="1" t="s">
        <v>2671</v>
      </c>
      <c r="D1523" s="2" t="s">
        <v>2690</v>
      </c>
      <c r="E1523" s="1" t="s">
        <v>2698</v>
      </c>
      <c r="F1523" s="1" t="s">
        <v>2699</v>
      </c>
      <c r="G1523" s="11">
        <v>52</v>
      </c>
      <c r="H1523" s="3">
        <f>25%+0%+25%</f>
        <v>0.5</v>
      </c>
      <c r="I1523" s="3">
        <f>0%+50%+10%</f>
        <v>0.6</v>
      </c>
      <c r="J1523" s="1" t="s">
        <v>2693</v>
      </c>
    </row>
    <row r="1524" spans="1:10" ht="60">
      <c r="A1524" s="1">
        <v>2023</v>
      </c>
      <c r="B1524" s="1" t="s">
        <v>9</v>
      </c>
      <c r="C1524" s="1" t="s">
        <v>2671</v>
      </c>
      <c r="D1524" s="2" t="s">
        <v>2690</v>
      </c>
      <c r="E1524" s="1" t="s">
        <v>2700</v>
      </c>
      <c r="F1524" s="1" t="s">
        <v>2701</v>
      </c>
      <c r="G1524" s="11">
        <v>4</v>
      </c>
      <c r="H1524" s="3">
        <f>30%+0%+20%</f>
        <v>0.5</v>
      </c>
      <c r="I1524" s="3">
        <f>0%+0%+0%</f>
        <v>0</v>
      </c>
      <c r="J1524" s="1" t="s">
        <v>2693</v>
      </c>
    </row>
    <row r="1525" spans="1:10" ht="36">
      <c r="A1525" s="1">
        <v>2023</v>
      </c>
      <c r="B1525" s="1" t="s">
        <v>9</v>
      </c>
      <c r="C1525" s="1" t="s">
        <v>2671</v>
      </c>
      <c r="D1525" s="2" t="s">
        <v>2690</v>
      </c>
      <c r="E1525" s="1" t="s">
        <v>2702</v>
      </c>
      <c r="F1525" s="1" t="s">
        <v>1927</v>
      </c>
      <c r="G1525" s="2">
        <v>6</v>
      </c>
      <c r="H1525" s="2">
        <f t="shared" ref="H1525:H1526" si="408">0+1+1</f>
        <v>2</v>
      </c>
      <c r="I1525" s="11">
        <f t="shared" ref="I1525:I1526" si="409">0+0+0</f>
        <v>0</v>
      </c>
      <c r="J1525" s="1" t="s">
        <v>2693</v>
      </c>
    </row>
    <row r="1526" spans="1:10" ht="36">
      <c r="A1526" s="1">
        <v>2023</v>
      </c>
      <c r="B1526" s="1" t="s">
        <v>9</v>
      </c>
      <c r="C1526" s="1" t="s">
        <v>2671</v>
      </c>
      <c r="D1526" s="2" t="s">
        <v>2690</v>
      </c>
      <c r="E1526" s="1" t="s">
        <v>2703</v>
      </c>
      <c r="F1526" s="1" t="s">
        <v>2704</v>
      </c>
      <c r="G1526" s="2">
        <v>6</v>
      </c>
      <c r="H1526" s="2">
        <f t="shared" si="408"/>
        <v>2</v>
      </c>
      <c r="I1526" s="11">
        <f t="shared" si="409"/>
        <v>0</v>
      </c>
      <c r="J1526" s="1" t="s">
        <v>2693</v>
      </c>
    </row>
    <row r="1527" spans="1:10" ht="36">
      <c r="A1527" s="1">
        <v>2023</v>
      </c>
      <c r="B1527" s="1" t="s">
        <v>9</v>
      </c>
      <c r="C1527" s="1" t="s">
        <v>2671</v>
      </c>
      <c r="D1527" s="2" t="s">
        <v>2690</v>
      </c>
      <c r="E1527" s="1" t="s">
        <v>2705</v>
      </c>
      <c r="F1527" s="1" t="s">
        <v>2706</v>
      </c>
      <c r="G1527" s="2">
        <v>13</v>
      </c>
      <c r="H1527" s="2">
        <f t="shared" ref="H1527:H1528" si="410">0+3+4</f>
        <v>7</v>
      </c>
      <c r="I1527" s="11">
        <f t="shared" ref="I1527:I1528" si="411">0+28+5</f>
        <v>33</v>
      </c>
      <c r="J1527" s="1" t="s">
        <v>2693</v>
      </c>
    </row>
    <row r="1528" spans="1:10" ht="36">
      <c r="A1528" s="1">
        <v>2023</v>
      </c>
      <c r="B1528" s="1" t="s">
        <v>9</v>
      </c>
      <c r="C1528" s="1" t="s">
        <v>2671</v>
      </c>
      <c r="D1528" s="2" t="s">
        <v>2690</v>
      </c>
      <c r="E1528" s="1" t="s">
        <v>2705</v>
      </c>
      <c r="F1528" s="1" t="s">
        <v>2706</v>
      </c>
      <c r="G1528" s="2">
        <v>13</v>
      </c>
      <c r="H1528" s="2">
        <f t="shared" si="410"/>
        <v>7</v>
      </c>
      <c r="I1528" s="11">
        <f t="shared" si="411"/>
        <v>33</v>
      </c>
      <c r="J1528" s="1" t="s">
        <v>2693</v>
      </c>
    </row>
    <row r="1529" spans="1:10" ht="36">
      <c r="A1529" s="1">
        <v>2023</v>
      </c>
      <c r="B1529" s="1" t="s">
        <v>9</v>
      </c>
      <c r="C1529" s="1" t="s">
        <v>2671</v>
      </c>
      <c r="D1529" s="2" t="s">
        <v>2690</v>
      </c>
      <c r="E1529" s="1" t="s">
        <v>975</v>
      </c>
      <c r="F1529" s="1" t="s">
        <v>152</v>
      </c>
      <c r="G1529" s="2">
        <v>1</v>
      </c>
      <c r="H1529" s="2">
        <f t="shared" ref="H1529:H1530" si="412">0+0+1</f>
        <v>1</v>
      </c>
      <c r="I1529" s="11">
        <f t="shared" ref="I1529:I1530" si="413">0+0+0</f>
        <v>0</v>
      </c>
      <c r="J1529" s="1" t="s">
        <v>2693</v>
      </c>
    </row>
    <row r="1530" spans="1:10" ht="36">
      <c r="A1530" s="1">
        <v>2023</v>
      </c>
      <c r="B1530" s="1" t="s">
        <v>9</v>
      </c>
      <c r="C1530" s="1" t="s">
        <v>2671</v>
      </c>
      <c r="D1530" s="2" t="s">
        <v>2690</v>
      </c>
      <c r="E1530" s="1" t="s">
        <v>2707</v>
      </c>
      <c r="F1530" s="1" t="s">
        <v>2708</v>
      </c>
      <c r="G1530" s="2">
        <v>1</v>
      </c>
      <c r="H1530" s="2">
        <f t="shared" si="412"/>
        <v>1</v>
      </c>
      <c r="I1530" s="11">
        <f t="shared" si="413"/>
        <v>0</v>
      </c>
      <c r="J1530" s="1" t="s">
        <v>2693</v>
      </c>
    </row>
    <row r="1531" spans="1:10" ht="60">
      <c r="A1531" s="1">
        <v>2023</v>
      </c>
      <c r="B1531" s="1" t="s">
        <v>9</v>
      </c>
      <c r="C1531" s="1" t="s">
        <v>2671</v>
      </c>
      <c r="D1531" s="2" t="s">
        <v>2709</v>
      </c>
      <c r="E1531" s="1" t="s">
        <v>2710</v>
      </c>
      <c r="F1531" s="1" t="s">
        <v>2711</v>
      </c>
      <c r="G1531" s="2">
        <v>0</v>
      </c>
      <c r="H1531" s="3">
        <f t="shared" ref="H1531:I1531" si="414">0%+0%+100%</f>
        <v>1</v>
      </c>
      <c r="I1531" s="3">
        <f t="shared" si="414"/>
        <v>1</v>
      </c>
      <c r="J1531" s="1" t="s">
        <v>2712</v>
      </c>
    </row>
    <row r="1532" spans="1:10" ht="36">
      <c r="A1532" s="1">
        <v>2023</v>
      </c>
      <c r="B1532" s="1" t="s">
        <v>9</v>
      </c>
      <c r="C1532" s="1" t="s">
        <v>2671</v>
      </c>
      <c r="D1532" s="2" t="s">
        <v>2709</v>
      </c>
      <c r="E1532" s="1" t="s">
        <v>2713</v>
      </c>
      <c r="F1532" s="1" t="s">
        <v>2714</v>
      </c>
      <c r="G1532" s="2">
        <v>0</v>
      </c>
      <c r="H1532" s="3">
        <f t="shared" ref="H1532:I1532" si="415">0%+0%+100%</f>
        <v>1</v>
      </c>
      <c r="I1532" s="3">
        <f t="shared" si="415"/>
        <v>1</v>
      </c>
      <c r="J1532" s="1" t="s">
        <v>2712</v>
      </c>
    </row>
    <row r="1533" spans="1:10" ht="36">
      <c r="A1533" s="1">
        <v>2023</v>
      </c>
      <c r="B1533" s="1" t="s">
        <v>9</v>
      </c>
      <c r="C1533" s="1" t="s">
        <v>2671</v>
      </c>
      <c r="D1533" s="2" t="s">
        <v>2709</v>
      </c>
      <c r="E1533" s="1" t="s">
        <v>2715</v>
      </c>
      <c r="F1533" s="1" t="s">
        <v>2708</v>
      </c>
      <c r="G1533" s="11">
        <v>4</v>
      </c>
      <c r="H1533" s="3">
        <f t="shared" ref="H1533:I1533" si="416">8.33%+8.33%+8.34%</f>
        <v>0.25</v>
      </c>
      <c r="I1533" s="3">
        <f t="shared" si="416"/>
        <v>0.25</v>
      </c>
      <c r="J1533" s="1" t="s">
        <v>2712</v>
      </c>
    </row>
    <row r="1534" spans="1:10" ht="36">
      <c r="A1534" s="1">
        <v>2023</v>
      </c>
      <c r="B1534" s="1" t="s">
        <v>9</v>
      </c>
      <c r="C1534" s="1" t="s">
        <v>2671</v>
      </c>
      <c r="D1534" s="2" t="s">
        <v>2709</v>
      </c>
      <c r="E1534" s="1" t="s">
        <v>988</v>
      </c>
      <c r="F1534" s="1" t="s">
        <v>320</v>
      </c>
      <c r="G1534" s="11">
        <v>60</v>
      </c>
      <c r="H1534" s="3">
        <f t="shared" ref="H1534:I1534" si="417">0%+0%+25%</f>
        <v>0.25</v>
      </c>
      <c r="I1534" s="3">
        <f t="shared" si="417"/>
        <v>0.25</v>
      </c>
      <c r="J1534" s="1" t="s">
        <v>2712</v>
      </c>
    </row>
    <row r="1535" spans="1:10" ht="36">
      <c r="A1535" s="1">
        <v>2023</v>
      </c>
      <c r="B1535" s="1" t="s">
        <v>9</v>
      </c>
      <c r="C1535" s="1" t="s">
        <v>2671</v>
      </c>
      <c r="D1535" s="2" t="s">
        <v>2709</v>
      </c>
      <c r="E1535" s="1" t="s">
        <v>2716</v>
      </c>
      <c r="F1535" s="1" t="s">
        <v>2717</v>
      </c>
      <c r="G1535" s="11">
        <v>2</v>
      </c>
      <c r="H1535" s="11">
        <f t="shared" ref="H1535:I1535" si="418">0+0+0</f>
        <v>0</v>
      </c>
      <c r="I1535" s="11">
        <f t="shared" si="418"/>
        <v>0</v>
      </c>
      <c r="J1535" s="1" t="s">
        <v>2712</v>
      </c>
    </row>
    <row r="1536" spans="1:10" ht="36">
      <c r="A1536" s="1">
        <v>2023</v>
      </c>
      <c r="B1536" s="1" t="s">
        <v>9</v>
      </c>
      <c r="C1536" s="1" t="s">
        <v>2671</v>
      </c>
      <c r="D1536" s="2" t="s">
        <v>2709</v>
      </c>
      <c r="E1536" s="1" t="s">
        <v>2718</v>
      </c>
      <c r="F1536" s="1" t="s">
        <v>2719</v>
      </c>
      <c r="G1536" s="11">
        <v>2</v>
      </c>
      <c r="H1536" s="3">
        <f>0%+0%+25%</f>
        <v>0.25</v>
      </c>
      <c r="I1536" s="3">
        <f>0+0+0</f>
        <v>0</v>
      </c>
      <c r="J1536" s="1" t="s">
        <v>2712</v>
      </c>
    </row>
    <row r="1537" spans="1:10" ht="36">
      <c r="A1537" s="1">
        <v>2023</v>
      </c>
      <c r="B1537" s="1" t="s">
        <v>9</v>
      </c>
      <c r="C1537" s="1" t="s">
        <v>2671</v>
      </c>
      <c r="D1537" s="2" t="s">
        <v>2709</v>
      </c>
      <c r="E1537" s="1" t="s">
        <v>2720</v>
      </c>
      <c r="F1537" s="1" t="s">
        <v>2721</v>
      </c>
      <c r="G1537" s="11">
        <v>60</v>
      </c>
      <c r="H1537" s="11">
        <f>0+0+15</f>
        <v>15</v>
      </c>
      <c r="I1537" s="11">
        <f>9+11+4</f>
        <v>24</v>
      </c>
      <c r="J1537" s="1" t="s">
        <v>2712</v>
      </c>
    </row>
    <row r="1538" spans="1:10" ht="36">
      <c r="A1538" s="1">
        <v>2023</v>
      </c>
      <c r="B1538" s="1" t="s">
        <v>9</v>
      </c>
      <c r="C1538" s="1" t="s">
        <v>2671</v>
      </c>
      <c r="D1538" s="2" t="s">
        <v>2722</v>
      </c>
      <c r="E1538" s="1" t="s">
        <v>2723</v>
      </c>
      <c r="F1538" s="1" t="s">
        <v>2724</v>
      </c>
      <c r="G1538" s="2">
        <v>0</v>
      </c>
      <c r="H1538" s="3">
        <f t="shared" ref="H1538:H1539" si="419">0%+0%+100%</f>
        <v>1</v>
      </c>
      <c r="I1538" s="4">
        <f t="shared" ref="I1538:I1539" si="420">0%+0%+27.47%</f>
        <v>0.2747</v>
      </c>
      <c r="J1538" s="1" t="s">
        <v>2725</v>
      </c>
    </row>
    <row r="1539" spans="1:10" ht="36">
      <c r="A1539" s="1">
        <v>2023</v>
      </c>
      <c r="B1539" s="1" t="s">
        <v>9</v>
      </c>
      <c r="C1539" s="1" t="s">
        <v>2671</v>
      </c>
      <c r="D1539" s="2" t="s">
        <v>2722</v>
      </c>
      <c r="E1539" s="1" t="s">
        <v>2726</v>
      </c>
      <c r="F1539" s="1" t="s">
        <v>2727</v>
      </c>
      <c r="G1539" s="2">
        <v>0</v>
      </c>
      <c r="H1539" s="3">
        <f t="shared" si="419"/>
        <v>1</v>
      </c>
      <c r="I1539" s="4">
        <f t="shared" si="420"/>
        <v>0.2747</v>
      </c>
      <c r="J1539" s="1" t="s">
        <v>2725</v>
      </c>
    </row>
    <row r="1540" spans="1:10" ht="36">
      <c r="A1540" s="1">
        <v>2023</v>
      </c>
      <c r="B1540" s="1" t="s">
        <v>9</v>
      </c>
      <c r="C1540" s="1" t="s">
        <v>2671</v>
      </c>
      <c r="D1540" s="2" t="s">
        <v>2722</v>
      </c>
      <c r="E1540" s="1" t="s">
        <v>2728</v>
      </c>
      <c r="F1540" s="1" t="s">
        <v>2729</v>
      </c>
      <c r="G1540" s="11">
        <v>44700</v>
      </c>
      <c r="H1540" s="3">
        <f>4.03%+4.03%+4.03%</f>
        <v>0.12090000000000001</v>
      </c>
      <c r="I1540" s="3">
        <f>0%+0%+0%</f>
        <v>0</v>
      </c>
      <c r="J1540" s="1" t="s">
        <v>2725</v>
      </c>
    </row>
    <row r="1541" spans="1:10" ht="48">
      <c r="A1541" s="1">
        <v>2023</v>
      </c>
      <c r="B1541" s="1" t="s">
        <v>9</v>
      </c>
      <c r="C1541" s="1" t="s">
        <v>2671</v>
      </c>
      <c r="D1541" s="2" t="s">
        <v>2722</v>
      </c>
      <c r="E1541" s="1" t="s">
        <v>2730</v>
      </c>
      <c r="F1541" s="1" t="s">
        <v>2731</v>
      </c>
      <c r="G1541" s="11">
        <v>745</v>
      </c>
      <c r="H1541" s="3">
        <f>8.72%+8.72%+8.05%</f>
        <v>0.25490000000000002</v>
      </c>
      <c r="I1541" s="3">
        <f>8%+23.11%+2.8%</f>
        <v>0.33909999999999996</v>
      </c>
      <c r="J1541" s="1" t="s">
        <v>2725</v>
      </c>
    </row>
    <row r="1542" spans="1:10" ht="72">
      <c r="A1542" s="1">
        <v>2023</v>
      </c>
      <c r="B1542" s="1" t="s">
        <v>9</v>
      </c>
      <c r="C1542" s="1" t="s">
        <v>2671</v>
      </c>
      <c r="D1542" s="2" t="s">
        <v>2722</v>
      </c>
      <c r="E1542" s="1" t="s">
        <v>2732</v>
      </c>
      <c r="F1542" s="1" t="s">
        <v>2733</v>
      </c>
      <c r="G1542" s="11">
        <v>480</v>
      </c>
      <c r="H1542" s="3">
        <f>9.38%+9.38%+2.08%</f>
        <v>0.20840000000000003</v>
      </c>
      <c r="I1542" s="3">
        <f>0%+0%+0%</f>
        <v>0</v>
      </c>
      <c r="J1542" s="1" t="s">
        <v>2725</v>
      </c>
    </row>
    <row r="1543" spans="1:10" ht="72">
      <c r="A1543" s="1">
        <v>2023</v>
      </c>
      <c r="B1543" s="1" t="s">
        <v>9</v>
      </c>
      <c r="C1543" s="1" t="s">
        <v>2671</v>
      </c>
      <c r="D1543" s="2" t="s">
        <v>2722</v>
      </c>
      <c r="E1543" s="1" t="s">
        <v>2734</v>
      </c>
      <c r="F1543" s="1" t="s">
        <v>2735</v>
      </c>
      <c r="G1543" s="11">
        <v>290</v>
      </c>
      <c r="H1543" s="3">
        <f>8.62%+8.62%+6.9%</f>
        <v>0.2414</v>
      </c>
      <c r="I1543" s="3">
        <f>5.86%+6.21%+7.24%</f>
        <v>0.19309999999999999</v>
      </c>
      <c r="J1543" s="1" t="s">
        <v>2725</v>
      </c>
    </row>
    <row r="1544" spans="1:10" ht="48">
      <c r="A1544" s="1">
        <v>2023</v>
      </c>
      <c r="B1544" s="1" t="s">
        <v>9</v>
      </c>
      <c r="C1544" s="1" t="s">
        <v>2671</v>
      </c>
      <c r="D1544" s="2" t="s">
        <v>2722</v>
      </c>
      <c r="E1544" s="1" t="s">
        <v>2736</v>
      </c>
      <c r="F1544" s="1" t="s">
        <v>2737</v>
      </c>
      <c r="G1544" s="11">
        <v>22000</v>
      </c>
      <c r="H1544" s="3">
        <f>9.09%+9.09%+4.55%</f>
        <v>0.2273</v>
      </c>
      <c r="I1544" s="3">
        <f>0%+1.97%+2.26%</f>
        <v>4.2299999999999997E-2</v>
      </c>
      <c r="J1544" s="1" t="s">
        <v>2725</v>
      </c>
    </row>
    <row r="1545" spans="1:10" ht="36">
      <c r="A1545" s="1">
        <v>2023</v>
      </c>
      <c r="B1545" s="1" t="s">
        <v>9</v>
      </c>
      <c r="C1545" s="1" t="s">
        <v>2671</v>
      </c>
      <c r="D1545" s="2" t="s">
        <v>2722</v>
      </c>
      <c r="E1545" s="1" t="s">
        <v>2738</v>
      </c>
      <c r="F1545" s="1" t="s">
        <v>2739</v>
      </c>
      <c r="G1545" s="11">
        <v>15200</v>
      </c>
      <c r="H1545" s="3">
        <f>13.16%+13.16%+6.58%</f>
        <v>0.32899999999999996</v>
      </c>
      <c r="I1545" s="3">
        <f>0.49%+0%+0%</f>
        <v>4.8999999999999998E-3</v>
      </c>
      <c r="J1545" s="1" t="s">
        <v>2725</v>
      </c>
    </row>
    <row r="1546" spans="1:10" ht="48">
      <c r="A1546" s="1">
        <v>2023</v>
      </c>
      <c r="B1546" s="1" t="s">
        <v>9</v>
      </c>
      <c r="C1546" s="1" t="s">
        <v>2671</v>
      </c>
      <c r="D1546" s="2" t="s">
        <v>2722</v>
      </c>
      <c r="E1546" s="1" t="s">
        <v>2740</v>
      </c>
      <c r="F1546" s="1" t="s">
        <v>2741</v>
      </c>
      <c r="G1546" s="11">
        <v>20000</v>
      </c>
      <c r="H1546" s="3">
        <f>5%+5%+5%</f>
        <v>0.15000000000000002</v>
      </c>
      <c r="I1546" s="3">
        <f>11.85%+6.7%+0%</f>
        <v>0.1855</v>
      </c>
      <c r="J1546" s="1" t="s">
        <v>2725</v>
      </c>
    </row>
    <row r="1547" spans="1:10" ht="36">
      <c r="A1547" s="1">
        <v>2023</v>
      </c>
      <c r="B1547" s="1" t="s">
        <v>9</v>
      </c>
      <c r="C1547" s="1" t="s">
        <v>2671</v>
      </c>
      <c r="D1547" s="2" t="s">
        <v>2722</v>
      </c>
      <c r="E1547" s="1" t="s">
        <v>2742</v>
      </c>
      <c r="F1547" s="1" t="s">
        <v>2743</v>
      </c>
      <c r="G1547" s="11">
        <v>60</v>
      </c>
      <c r="H1547" s="3">
        <f>8.33%+8.33%+8.33%</f>
        <v>0.24990000000000001</v>
      </c>
      <c r="I1547" s="3">
        <f t="shared" ref="I1547:I1548" si="421">0%+0%+0%</f>
        <v>0</v>
      </c>
      <c r="J1547" s="1" t="s">
        <v>2725</v>
      </c>
    </row>
    <row r="1548" spans="1:10" ht="36">
      <c r="A1548" s="1">
        <v>2023</v>
      </c>
      <c r="B1548" s="1" t="s">
        <v>9</v>
      </c>
      <c r="C1548" s="1" t="s">
        <v>2671</v>
      </c>
      <c r="D1548" s="2" t="s">
        <v>2722</v>
      </c>
      <c r="E1548" s="1" t="s">
        <v>2744</v>
      </c>
      <c r="F1548" s="1" t="s">
        <v>2743</v>
      </c>
      <c r="G1548" s="11">
        <v>47</v>
      </c>
      <c r="H1548" s="3">
        <f>8.51%+8.51%+8.51%</f>
        <v>0.25529999999999997</v>
      </c>
      <c r="I1548" s="3">
        <f t="shared" si="421"/>
        <v>0</v>
      </c>
      <c r="J1548" s="1" t="s">
        <v>2725</v>
      </c>
    </row>
    <row r="1549" spans="1:10" ht="36">
      <c r="A1549" s="1">
        <v>2023</v>
      </c>
      <c r="B1549" s="1" t="s">
        <v>9</v>
      </c>
      <c r="C1549" s="1" t="s">
        <v>2671</v>
      </c>
      <c r="D1549" s="2" t="s">
        <v>2722</v>
      </c>
      <c r="E1549" s="1" t="s">
        <v>2745</v>
      </c>
      <c r="F1549" s="1" t="s">
        <v>2746</v>
      </c>
      <c r="G1549" s="11">
        <v>44700</v>
      </c>
      <c r="H1549" s="11">
        <f>2450+1700+1700</f>
        <v>5850</v>
      </c>
      <c r="I1549" s="11">
        <f>0+0+0</f>
        <v>0</v>
      </c>
      <c r="J1549" s="1" t="s">
        <v>2725</v>
      </c>
    </row>
    <row r="1550" spans="1:10" ht="36">
      <c r="A1550" s="1">
        <v>2023</v>
      </c>
      <c r="B1550" s="1" t="s">
        <v>9</v>
      </c>
      <c r="C1550" s="1" t="s">
        <v>2671</v>
      </c>
      <c r="D1550" s="2" t="s">
        <v>2722</v>
      </c>
      <c r="E1550" s="1" t="s">
        <v>2747</v>
      </c>
      <c r="F1550" s="1" t="s">
        <v>2746</v>
      </c>
      <c r="G1550" s="11">
        <v>248</v>
      </c>
      <c r="H1550" s="11">
        <f>100+100+81</f>
        <v>281</v>
      </c>
      <c r="I1550" s="11">
        <f>28.46+64.83+20.89</f>
        <v>114.17999999999999</v>
      </c>
      <c r="J1550" s="1" t="s">
        <v>2725</v>
      </c>
    </row>
    <row r="1551" spans="1:10" ht="36">
      <c r="A1551" s="1">
        <v>2023</v>
      </c>
      <c r="B1551" s="1" t="s">
        <v>9</v>
      </c>
      <c r="C1551" s="1" t="s">
        <v>2671</v>
      </c>
      <c r="D1551" s="2" t="s">
        <v>2722</v>
      </c>
      <c r="E1551" s="1" t="s">
        <v>2748</v>
      </c>
      <c r="F1551" s="1" t="s">
        <v>2746</v>
      </c>
      <c r="G1551" s="11">
        <v>248</v>
      </c>
      <c r="H1551" s="11">
        <f>10+10+15</f>
        <v>35</v>
      </c>
      <c r="I1551" s="11">
        <f>5.2+102+0</f>
        <v>107.2</v>
      </c>
      <c r="J1551" s="1" t="s">
        <v>2725</v>
      </c>
    </row>
    <row r="1552" spans="1:10" ht="36">
      <c r="A1552" s="1">
        <v>2023</v>
      </c>
      <c r="B1552" s="1" t="s">
        <v>9</v>
      </c>
      <c r="C1552" s="1" t="s">
        <v>2671</v>
      </c>
      <c r="D1552" s="2" t="s">
        <v>2722</v>
      </c>
      <c r="E1552" s="1" t="s">
        <v>2749</v>
      </c>
      <c r="F1552" s="1" t="s">
        <v>2746</v>
      </c>
      <c r="G1552" s="11">
        <v>248</v>
      </c>
      <c r="H1552" s="11">
        <f>5+5+5</f>
        <v>15</v>
      </c>
      <c r="I1552" s="11">
        <f>25.95+5.34+0</f>
        <v>31.29</v>
      </c>
      <c r="J1552" s="1" t="s">
        <v>2725</v>
      </c>
    </row>
    <row r="1553" spans="1:10" ht="36">
      <c r="A1553" s="1">
        <v>2023</v>
      </c>
      <c r="B1553" s="1" t="s">
        <v>9</v>
      </c>
      <c r="C1553" s="1" t="s">
        <v>2671</v>
      </c>
      <c r="D1553" s="2" t="s">
        <v>2722</v>
      </c>
      <c r="E1553" s="1" t="s">
        <v>2750</v>
      </c>
      <c r="F1553" s="1" t="s">
        <v>2751</v>
      </c>
      <c r="G1553" s="11">
        <v>80</v>
      </c>
      <c r="H1553" s="11">
        <f t="shared" ref="H1553:H1554" si="422">15+15+17</f>
        <v>47</v>
      </c>
      <c r="I1553" s="11">
        <f t="shared" ref="I1553:I1558" si="423">0+0+0</f>
        <v>0</v>
      </c>
      <c r="J1553" s="1" t="s">
        <v>2725</v>
      </c>
    </row>
    <row r="1554" spans="1:10" ht="36">
      <c r="A1554" s="1">
        <v>2023</v>
      </c>
      <c r="B1554" s="1" t="s">
        <v>9</v>
      </c>
      <c r="C1554" s="1" t="s">
        <v>2671</v>
      </c>
      <c r="D1554" s="2" t="s">
        <v>2722</v>
      </c>
      <c r="E1554" s="1" t="s">
        <v>2752</v>
      </c>
      <c r="F1554" s="1" t="s">
        <v>2753</v>
      </c>
      <c r="G1554" s="11">
        <v>80</v>
      </c>
      <c r="H1554" s="11">
        <f t="shared" si="422"/>
        <v>47</v>
      </c>
      <c r="I1554" s="11">
        <f t="shared" si="423"/>
        <v>0</v>
      </c>
      <c r="J1554" s="1" t="s">
        <v>2725</v>
      </c>
    </row>
    <row r="1555" spans="1:10" ht="36">
      <c r="A1555" s="1">
        <v>2023</v>
      </c>
      <c r="B1555" s="1" t="s">
        <v>9</v>
      </c>
      <c r="C1555" s="1" t="s">
        <v>2671</v>
      </c>
      <c r="D1555" s="2" t="s">
        <v>2722</v>
      </c>
      <c r="E1555" s="1" t="s">
        <v>2754</v>
      </c>
      <c r="F1555" s="1" t="s">
        <v>2755</v>
      </c>
      <c r="G1555" s="11">
        <v>80</v>
      </c>
      <c r="H1555" s="11">
        <f t="shared" ref="H1555:H1556" si="424">5+5+1</f>
        <v>11</v>
      </c>
      <c r="I1555" s="11">
        <f t="shared" si="423"/>
        <v>0</v>
      </c>
      <c r="J1555" s="1" t="s">
        <v>2725</v>
      </c>
    </row>
    <row r="1556" spans="1:10" ht="36">
      <c r="A1556" s="1">
        <v>2023</v>
      </c>
      <c r="B1556" s="1" t="s">
        <v>9</v>
      </c>
      <c r="C1556" s="1" t="s">
        <v>2671</v>
      </c>
      <c r="D1556" s="2" t="s">
        <v>2722</v>
      </c>
      <c r="E1556" s="1" t="s">
        <v>2756</v>
      </c>
      <c r="F1556" s="1" t="s">
        <v>2757</v>
      </c>
      <c r="G1556" s="11">
        <v>80</v>
      </c>
      <c r="H1556" s="11">
        <f t="shared" si="424"/>
        <v>11</v>
      </c>
      <c r="I1556" s="11">
        <f t="shared" si="423"/>
        <v>0</v>
      </c>
      <c r="J1556" s="1" t="s">
        <v>2725</v>
      </c>
    </row>
    <row r="1557" spans="1:10" ht="36">
      <c r="A1557" s="1">
        <v>2023</v>
      </c>
      <c r="B1557" s="1" t="s">
        <v>9</v>
      </c>
      <c r="C1557" s="1" t="s">
        <v>2671</v>
      </c>
      <c r="D1557" s="2" t="s">
        <v>2722</v>
      </c>
      <c r="E1557" s="1" t="s">
        <v>2758</v>
      </c>
      <c r="F1557" s="1" t="s">
        <v>2759</v>
      </c>
      <c r="G1557" s="11">
        <v>80</v>
      </c>
      <c r="H1557" s="11">
        <f>5+5+2</f>
        <v>12</v>
      </c>
      <c r="I1557" s="11">
        <f t="shared" si="423"/>
        <v>0</v>
      </c>
      <c r="J1557" s="1" t="s">
        <v>2725</v>
      </c>
    </row>
    <row r="1558" spans="1:10" ht="36">
      <c r="A1558" s="1">
        <v>2023</v>
      </c>
      <c r="B1558" s="1" t="s">
        <v>9</v>
      </c>
      <c r="C1558" s="1" t="s">
        <v>2671</v>
      </c>
      <c r="D1558" s="2" t="s">
        <v>2722</v>
      </c>
      <c r="E1558" s="1" t="s">
        <v>2750</v>
      </c>
      <c r="F1558" s="1" t="s">
        <v>2760</v>
      </c>
      <c r="G1558" s="11">
        <v>80</v>
      </c>
      <c r="H1558" s="11">
        <f>20+20+4</f>
        <v>44</v>
      </c>
      <c r="I1558" s="11">
        <f t="shared" si="423"/>
        <v>0</v>
      </c>
      <c r="J1558" s="1" t="s">
        <v>2725</v>
      </c>
    </row>
    <row r="1559" spans="1:10" ht="36">
      <c r="A1559" s="1">
        <v>2023</v>
      </c>
      <c r="B1559" s="1" t="s">
        <v>9</v>
      </c>
      <c r="C1559" s="1" t="s">
        <v>2671</v>
      </c>
      <c r="D1559" s="2" t="s">
        <v>2722</v>
      </c>
      <c r="E1559" s="1" t="s">
        <v>2761</v>
      </c>
      <c r="F1559" s="1" t="s">
        <v>2762</v>
      </c>
      <c r="G1559" s="11">
        <v>73</v>
      </c>
      <c r="H1559" s="11">
        <f t="shared" ref="H1559:H1560" si="425">30+20+12</f>
        <v>62</v>
      </c>
      <c r="I1559" s="11">
        <f>12+15+13</f>
        <v>40</v>
      </c>
      <c r="J1559" s="1" t="s">
        <v>2725</v>
      </c>
    </row>
    <row r="1560" spans="1:10" ht="36">
      <c r="A1560" s="1">
        <v>2023</v>
      </c>
      <c r="B1560" s="1" t="s">
        <v>9</v>
      </c>
      <c r="C1560" s="1" t="s">
        <v>2671</v>
      </c>
      <c r="D1560" s="2" t="s">
        <v>2722</v>
      </c>
      <c r="E1560" s="1" t="s">
        <v>2763</v>
      </c>
      <c r="F1560" s="1" t="s">
        <v>2764</v>
      </c>
      <c r="G1560" s="11">
        <v>73</v>
      </c>
      <c r="H1560" s="11">
        <f t="shared" si="425"/>
        <v>62</v>
      </c>
      <c r="I1560" s="11">
        <f t="shared" ref="I1560:I1561" si="426">0+0+0</f>
        <v>0</v>
      </c>
      <c r="J1560" s="1" t="s">
        <v>2725</v>
      </c>
    </row>
    <row r="1561" spans="1:10" ht="60">
      <c r="A1561" s="1">
        <v>2023</v>
      </c>
      <c r="B1561" s="1" t="s">
        <v>9</v>
      </c>
      <c r="C1561" s="1" t="s">
        <v>2671</v>
      </c>
      <c r="D1561" s="2" t="s">
        <v>2722</v>
      </c>
      <c r="E1561" s="1" t="s">
        <v>2765</v>
      </c>
      <c r="F1561" s="1" t="s">
        <v>2766</v>
      </c>
      <c r="G1561" s="11">
        <v>73</v>
      </c>
      <c r="H1561" s="11">
        <f>2+2+1</f>
        <v>5</v>
      </c>
      <c r="I1561" s="11">
        <f t="shared" si="426"/>
        <v>0</v>
      </c>
      <c r="J1561" s="1" t="s">
        <v>2725</v>
      </c>
    </row>
    <row r="1562" spans="1:10" ht="36">
      <c r="A1562" s="1">
        <v>2023</v>
      </c>
      <c r="B1562" s="1" t="s">
        <v>9</v>
      </c>
      <c r="C1562" s="1" t="s">
        <v>2671</v>
      </c>
      <c r="D1562" s="2" t="s">
        <v>2722</v>
      </c>
      <c r="E1562" s="1" t="s">
        <v>2767</v>
      </c>
      <c r="F1562" s="1" t="s">
        <v>2768</v>
      </c>
      <c r="G1562" s="11">
        <v>73</v>
      </c>
      <c r="H1562" s="11">
        <f>3+3+1</f>
        <v>7</v>
      </c>
      <c r="I1562" s="11">
        <f>5+3+8</f>
        <v>16</v>
      </c>
      <c r="J1562" s="1" t="s">
        <v>2725</v>
      </c>
    </row>
    <row r="1563" spans="1:10" ht="36">
      <c r="A1563" s="1">
        <v>2023</v>
      </c>
      <c r="B1563" s="1" t="s">
        <v>9</v>
      </c>
      <c r="C1563" s="1" t="s">
        <v>2671</v>
      </c>
      <c r="D1563" s="2" t="s">
        <v>2722</v>
      </c>
      <c r="E1563" s="1" t="s">
        <v>2769</v>
      </c>
      <c r="F1563" s="1" t="s">
        <v>2746</v>
      </c>
      <c r="G1563" s="11">
        <v>11000</v>
      </c>
      <c r="H1563" s="11">
        <f>1250+1250+1250</f>
        <v>3750</v>
      </c>
      <c r="I1563" s="11">
        <f>0+0+345</f>
        <v>345</v>
      </c>
      <c r="J1563" s="1" t="s">
        <v>2725</v>
      </c>
    </row>
    <row r="1564" spans="1:10" ht="36">
      <c r="A1564" s="1">
        <v>2023</v>
      </c>
      <c r="B1564" s="1" t="s">
        <v>9</v>
      </c>
      <c r="C1564" s="1" t="s">
        <v>2671</v>
      </c>
      <c r="D1564" s="2" t="s">
        <v>2722</v>
      </c>
      <c r="E1564" s="1" t="s">
        <v>2770</v>
      </c>
      <c r="F1564" s="1" t="s">
        <v>2746</v>
      </c>
      <c r="G1564" s="11">
        <v>11000</v>
      </c>
      <c r="H1564" s="11">
        <f>650+300+300</f>
        <v>1250</v>
      </c>
      <c r="I1564" s="11">
        <f>0+434+152</f>
        <v>586</v>
      </c>
      <c r="J1564" s="1" t="s">
        <v>2725</v>
      </c>
    </row>
    <row r="1565" spans="1:10" ht="36">
      <c r="A1565" s="1">
        <v>2023</v>
      </c>
      <c r="B1565" s="1" t="s">
        <v>9</v>
      </c>
      <c r="C1565" s="1" t="s">
        <v>2671</v>
      </c>
      <c r="D1565" s="2" t="s">
        <v>2722</v>
      </c>
      <c r="E1565" s="1" t="s">
        <v>2771</v>
      </c>
      <c r="F1565" s="1" t="s">
        <v>2746</v>
      </c>
      <c r="G1565" s="11">
        <v>7600</v>
      </c>
      <c r="H1565" s="11">
        <f>500+500+500</f>
        <v>1500</v>
      </c>
      <c r="I1565" s="11">
        <f>75+0+0</f>
        <v>75</v>
      </c>
      <c r="J1565" s="1" t="s">
        <v>2725</v>
      </c>
    </row>
    <row r="1566" spans="1:10" ht="36">
      <c r="A1566" s="1">
        <v>2023</v>
      </c>
      <c r="B1566" s="1" t="s">
        <v>9</v>
      </c>
      <c r="C1566" s="1" t="s">
        <v>2671</v>
      </c>
      <c r="D1566" s="2" t="s">
        <v>2722</v>
      </c>
      <c r="E1566" s="1" t="s">
        <v>2772</v>
      </c>
      <c r="F1566" s="1" t="s">
        <v>2746</v>
      </c>
      <c r="G1566" s="11">
        <v>7600</v>
      </c>
      <c r="H1566" s="11">
        <f>1300+1300+400</f>
        <v>3000</v>
      </c>
      <c r="I1566" s="11">
        <f>0+0+0</f>
        <v>0</v>
      </c>
      <c r="J1566" s="1" t="s">
        <v>2725</v>
      </c>
    </row>
    <row r="1567" spans="1:10" ht="36">
      <c r="A1567" s="1">
        <v>2023</v>
      </c>
      <c r="B1567" s="1" t="s">
        <v>9</v>
      </c>
      <c r="C1567" s="1" t="s">
        <v>2671</v>
      </c>
      <c r="D1567" s="2" t="s">
        <v>2722</v>
      </c>
      <c r="E1567" s="1" t="s">
        <v>2773</v>
      </c>
      <c r="F1567" s="1" t="s">
        <v>2774</v>
      </c>
      <c r="G1567" s="11">
        <v>10000</v>
      </c>
      <c r="H1567" s="11">
        <f>2500+3000+750</f>
        <v>6250</v>
      </c>
      <c r="I1567" s="11">
        <f>2370+1340+0</f>
        <v>3710</v>
      </c>
      <c r="J1567" s="1" t="s">
        <v>2725</v>
      </c>
    </row>
    <row r="1568" spans="1:10" ht="36">
      <c r="A1568" s="1">
        <v>2023</v>
      </c>
      <c r="B1568" s="1" t="s">
        <v>9</v>
      </c>
      <c r="C1568" s="1" t="s">
        <v>2671</v>
      </c>
      <c r="D1568" s="2" t="s">
        <v>2722</v>
      </c>
      <c r="E1568" s="1" t="s">
        <v>2775</v>
      </c>
      <c r="F1568" s="1" t="s">
        <v>2774</v>
      </c>
      <c r="G1568" s="11">
        <v>10000</v>
      </c>
      <c r="H1568" s="11">
        <f>250+250+250</f>
        <v>750</v>
      </c>
      <c r="I1568" s="11">
        <f t="shared" ref="I1568:I1571" si="427">0+0+0</f>
        <v>0</v>
      </c>
      <c r="J1568" s="1" t="s">
        <v>2725</v>
      </c>
    </row>
    <row r="1569" spans="1:10" ht="48">
      <c r="A1569" s="1">
        <v>2023</v>
      </c>
      <c r="B1569" s="1" t="s">
        <v>9</v>
      </c>
      <c r="C1569" s="1" t="s">
        <v>2671</v>
      </c>
      <c r="D1569" s="2" t="s">
        <v>2722</v>
      </c>
      <c r="E1569" s="1" t="s">
        <v>2776</v>
      </c>
      <c r="F1569" s="1" t="s">
        <v>2743</v>
      </c>
      <c r="G1569" s="11">
        <v>30</v>
      </c>
      <c r="H1569" s="11">
        <f t="shared" ref="H1569:H1570" si="428">10+9+10</f>
        <v>29</v>
      </c>
      <c r="I1569" s="11">
        <f t="shared" si="427"/>
        <v>0</v>
      </c>
      <c r="J1569" s="1" t="s">
        <v>2725</v>
      </c>
    </row>
    <row r="1570" spans="1:10" ht="48">
      <c r="A1570" s="1">
        <v>2023</v>
      </c>
      <c r="B1570" s="1" t="s">
        <v>9</v>
      </c>
      <c r="C1570" s="1" t="s">
        <v>2671</v>
      </c>
      <c r="D1570" s="2" t="s">
        <v>2722</v>
      </c>
      <c r="E1570" s="1" t="s">
        <v>2777</v>
      </c>
      <c r="F1570" s="1" t="s">
        <v>2743</v>
      </c>
      <c r="G1570" s="11">
        <v>30</v>
      </c>
      <c r="H1570" s="11">
        <f t="shared" si="428"/>
        <v>29</v>
      </c>
      <c r="I1570" s="11">
        <f t="shared" si="427"/>
        <v>0</v>
      </c>
      <c r="J1570" s="1" t="s">
        <v>2725</v>
      </c>
    </row>
    <row r="1571" spans="1:10" ht="36">
      <c r="A1571" s="1">
        <v>2023</v>
      </c>
      <c r="B1571" s="1" t="s">
        <v>9</v>
      </c>
      <c r="C1571" s="1" t="s">
        <v>2671</v>
      </c>
      <c r="D1571" s="2" t="s">
        <v>2722</v>
      </c>
      <c r="E1571" s="1" t="s">
        <v>2778</v>
      </c>
      <c r="F1571" s="1" t="s">
        <v>2779</v>
      </c>
      <c r="G1571" s="11">
        <v>47</v>
      </c>
      <c r="H1571" s="11">
        <f>4+4+3</f>
        <v>11</v>
      </c>
      <c r="I1571" s="11">
        <f t="shared" si="427"/>
        <v>0</v>
      </c>
      <c r="J1571" s="1" t="s">
        <v>2725</v>
      </c>
    </row>
    <row r="1572" spans="1:10" ht="48">
      <c r="A1572" s="1">
        <v>2023</v>
      </c>
      <c r="B1572" s="1" t="s">
        <v>9</v>
      </c>
      <c r="C1572" s="1" t="s">
        <v>10</v>
      </c>
      <c r="D1572" s="2" t="s">
        <v>2780</v>
      </c>
      <c r="E1572" s="1" t="s">
        <v>2781</v>
      </c>
      <c r="F1572" s="1" t="s">
        <v>2782</v>
      </c>
      <c r="G1572" s="2">
        <v>0</v>
      </c>
      <c r="H1572" s="3">
        <f t="shared" ref="H1572:I1572" si="429">0+0+100%</f>
        <v>1</v>
      </c>
      <c r="I1572" s="3">
        <f t="shared" si="429"/>
        <v>1</v>
      </c>
      <c r="J1572" s="1" t="s">
        <v>1395</v>
      </c>
    </row>
    <row r="1573" spans="1:10" ht="36">
      <c r="A1573" s="1">
        <v>2023</v>
      </c>
      <c r="B1573" s="1" t="s">
        <v>9</v>
      </c>
      <c r="C1573" s="1" t="s">
        <v>10</v>
      </c>
      <c r="D1573" s="2" t="s">
        <v>2780</v>
      </c>
      <c r="E1573" s="1" t="s">
        <v>2783</v>
      </c>
      <c r="F1573" s="1" t="s">
        <v>2782</v>
      </c>
      <c r="G1573" s="2">
        <v>0</v>
      </c>
      <c r="H1573" s="3">
        <f t="shared" ref="H1573:I1573" si="430">0+0+100%</f>
        <v>1</v>
      </c>
      <c r="I1573" s="3">
        <f t="shared" si="430"/>
        <v>1</v>
      </c>
      <c r="J1573" s="1" t="s">
        <v>1395</v>
      </c>
    </row>
    <row r="1574" spans="1:10" ht="48">
      <c r="A1574" s="1">
        <v>2023</v>
      </c>
      <c r="B1574" s="1" t="s">
        <v>9</v>
      </c>
      <c r="C1574" s="1" t="s">
        <v>10</v>
      </c>
      <c r="D1574" s="2" t="s">
        <v>2780</v>
      </c>
      <c r="E1574" s="1" t="s">
        <v>2784</v>
      </c>
      <c r="F1574" s="1" t="s">
        <v>728</v>
      </c>
      <c r="G1574" s="2">
        <v>48</v>
      </c>
      <c r="H1574" s="3">
        <f t="shared" ref="H1574:H1575" si="431">15%+15%+23%</f>
        <v>0.53</v>
      </c>
      <c r="I1574" s="3">
        <f>16%+4%+0%</f>
        <v>0.2</v>
      </c>
      <c r="J1574" s="1" t="s">
        <v>1395</v>
      </c>
    </row>
    <row r="1575" spans="1:10" ht="48">
      <c r="A1575" s="1">
        <v>2023</v>
      </c>
      <c r="B1575" s="1" t="s">
        <v>9</v>
      </c>
      <c r="C1575" s="1" t="s">
        <v>10</v>
      </c>
      <c r="D1575" s="2" t="s">
        <v>2780</v>
      </c>
      <c r="E1575" s="1" t="s">
        <v>2785</v>
      </c>
      <c r="F1575" s="1" t="s">
        <v>728</v>
      </c>
      <c r="G1575" s="2">
        <v>29</v>
      </c>
      <c r="H1575" s="3">
        <f t="shared" si="431"/>
        <v>0.53</v>
      </c>
      <c r="I1575" s="3">
        <f>0%+0%+0%</f>
        <v>0</v>
      </c>
      <c r="J1575" s="1" t="s">
        <v>1395</v>
      </c>
    </row>
    <row r="1576" spans="1:10" ht="36">
      <c r="A1576" s="1">
        <v>2023</v>
      </c>
      <c r="B1576" s="1" t="s">
        <v>9</v>
      </c>
      <c r="C1576" s="1" t="s">
        <v>10</v>
      </c>
      <c r="D1576" s="2" t="s">
        <v>2780</v>
      </c>
      <c r="E1576" s="1" t="s">
        <v>2786</v>
      </c>
      <c r="F1576" s="1" t="s">
        <v>2787</v>
      </c>
      <c r="G1576" s="11">
        <v>10</v>
      </c>
      <c r="H1576" s="11">
        <f t="shared" ref="H1576:H1578" si="432">1+2+0</f>
        <v>3</v>
      </c>
      <c r="I1576" s="11">
        <f>8+4+0</f>
        <v>12</v>
      </c>
      <c r="J1576" s="1" t="s">
        <v>1395</v>
      </c>
    </row>
    <row r="1577" spans="1:10" ht="36">
      <c r="A1577" s="1">
        <v>2023</v>
      </c>
      <c r="B1577" s="1" t="s">
        <v>9</v>
      </c>
      <c r="C1577" s="1" t="s">
        <v>10</v>
      </c>
      <c r="D1577" s="2" t="s">
        <v>2780</v>
      </c>
      <c r="E1577" s="1" t="s">
        <v>2786</v>
      </c>
      <c r="F1577" s="1" t="s">
        <v>2787</v>
      </c>
      <c r="G1577" s="11">
        <v>10</v>
      </c>
      <c r="H1577" s="11">
        <f t="shared" si="432"/>
        <v>3</v>
      </c>
      <c r="I1577" s="11">
        <f t="shared" ref="I1577:I1581" si="433">0+0+0</f>
        <v>0</v>
      </c>
      <c r="J1577" s="1" t="s">
        <v>1395</v>
      </c>
    </row>
    <row r="1578" spans="1:10" ht="36">
      <c r="A1578" s="1">
        <v>2023</v>
      </c>
      <c r="B1578" s="1" t="s">
        <v>9</v>
      </c>
      <c r="C1578" s="1" t="s">
        <v>10</v>
      </c>
      <c r="D1578" s="2" t="s">
        <v>2780</v>
      </c>
      <c r="E1578" s="1" t="s">
        <v>2786</v>
      </c>
      <c r="F1578" s="1" t="s">
        <v>2787</v>
      </c>
      <c r="G1578" s="11">
        <v>10</v>
      </c>
      <c r="H1578" s="11">
        <f t="shared" si="432"/>
        <v>3</v>
      </c>
      <c r="I1578" s="11">
        <f t="shared" si="433"/>
        <v>0</v>
      </c>
      <c r="J1578" s="1" t="s">
        <v>1395</v>
      </c>
    </row>
    <row r="1579" spans="1:10" ht="36">
      <c r="A1579" s="1">
        <v>2023</v>
      </c>
      <c r="B1579" s="1" t="s">
        <v>9</v>
      </c>
      <c r="C1579" s="1" t="s">
        <v>10</v>
      </c>
      <c r="D1579" s="2" t="s">
        <v>2780</v>
      </c>
      <c r="E1579" s="1" t="s">
        <v>2786</v>
      </c>
      <c r="F1579" s="1" t="s">
        <v>2787</v>
      </c>
      <c r="G1579" s="11">
        <v>10</v>
      </c>
      <c r="H1579" s="11">
        <f>1+2+1</f>
        <v>4</v>
      </c>
      <c r="I1579" s="11">
        <f t="shared" si="433"/>
        <v>0</v>
      </c>
      <c r="J1579" s="1" t="s">
        <v>1395</v>
      </c>
    </row>
    <row r="1580" spans="1:10" ht="36">
      <c r="A1580" s="1">
        <v>2023</v>
      </c>
      <c r="B1580" s="1" t="s">
        <v>9</v>
      </c>
      <c r="C1580" s="1" t="s">
        <v>10</v>
      </c>
      <c r="D1580" s="2" t="s">
        <v>2780</v>
      </c>
      <c r="E1580" s="1" t="s">
        <v>2786</v>
      </c>
      <c r="F1580" s="1" t="s">
        <v>2787</v>
      </c>
      <c r="G1580" s="11">
        <v>10</v>
      </c>
      <c r="H1580" s="11">
        <f>1+1+2</f>
        <v>4</v>
      </c>
      <c r="I1580" s="11">
        <f t="shared" si="433"/>
        <v>0</v>
      </c>
      <c r="J1580" s="1" t="s">
        <v>1395</v>
      </c>
    </row>
    <row r="1581" spans="1:10" ht="36">
      <c r="A1581" s="2">
        <v>2023</v>
      </c>
      <c r="B1581" s="1" t="s">
        <v>9</v>
      </c>
      <c r="C1581" s="2" t="s">
        <v>10</v>
      </c>
      <c r="D1581" s="2" t="s">
        <v>2780</v>
      </c>
      <c r="E1581" s="2" t="s">
        <v>2788</v>
      </c>
      <c r="F1581" s="2" t="s">
        <v>2789</v>
      </c>
      <c r="G1581" s="11">
        <v>29</v>
      </c>
      <c r="H1581" s="11">
        <f>1+2+5</f>
        <v>8</v>
      </c>
      <c r="I1581" s="11">
        <f t="shared" si="433"/>
        <v>0</v>
      </c>
      <c r="J1581" s="2" t="s">
        <v>1395</v>
      </c>
    </row>
    <row r="1582" spans="1:10" ht="48">
      <c r="A1582" s="39">
        <v>2023</v>
      </c>
      <c r="B1582" s="1" t="s">
        <v>9</v>
      </c>
      <c r="C1582" s="39" t="s">
        <v>10</v>
      </c>
      <c r="D1582" s="2" t="s">
        <v>2790</v>
      </c>
      <c r="E1582" s="2" t="s">
        <v>2791</v>
      </c>
      <c r="F1582" s="2" t="s">
        <v>2792</v>
      </c>
      <c r="G1582" s="11">
        <v>0</v>
      </c>
      <c r="H1582" s="3">
        <f t="shared" ref="H1582:I1582" si="434">0%+0%+100%</f>
        <v>1</v>
      </c>
      <c r="I1582" s="3">
        <f t="shared" si="434"/>
        <v>1</v>
      </c>
      <c r="J1582" s="2" t="s">
        <v>1395</v>
      </c>
    </row>
    <row r="1583" spans="1:10" ht="60">
      <c r="A1583" s="2">
        <v>2023</v>
      </c>
      <c r="B1583" s="1" t="s">
        <v>9</v>
      </c>
      <c r="C1583" s="2" t="s">
        <v>10</v>
      </c>
      <c r="D1583" s="2" t="s">
        <v>2790</v>
      </c>
      <c r="E1583" s="2" t="s">
        <v>2793</v>
      </c>
      <c r="F1583" s="2" t="s">
        <v>2794</v>
      </c>
      <c r="G1583" s="11">
        <v>0</v>
      </c>
      <c r="H1583" s="3">
        <f t="shared" ref="H1583:I1583" si="435">0%+0%+100%</f>
        <v>1</v>
      </c>
      <c r="I1583" s="3">
        <f t="shared" si="435"/>
        <v>1</v>
      </c>
      <c r="J1583" s="2" t="s">
        <v>1395</v>
      </c>
    </row>
    <row r="1584" spans="1:10" ht="60">
      <c r="A1584" s="2">
        <v>2023</v>
      </c>
      <c r="B1584" s="1" t="s">
        <v>9</v>
      </c>
      <c r="C1584" s="2" t="s">
        <v>10</v>
      </c>
      <c r="D1584" s="2" t="s">
        <v>2790</v>
      </c>
      <c r="E1584" s="2" t="s">
        <v>2795</v>
      </c>
      <c r="F1584" s="2" t="s">
        <v>2796</v>
      </c>
      <c r="G1584" s="11">
        <v>0</v>
      </c>
      <c r="H1584" s="3">
        <f t="shared" ref="H1584:I1584" si="436">0%+0%+100%</f>
        <v>1</v>
      </c>
      <c r="I1584" s="3">
        <f t="shared" si="436"/>
        <v>1</v>
      </c>
      <c r="J1584" s="2" t="s">
        <v>1395</v>
      </c>
    </row>
    <row r="1585" spans="1:10" ht="36">
      <c r="A1585" s="2">
        <v>2023</v>
      </c>
      <c r="B1585" s="1" t="s">
        <v>9</v>
      </c>
      <c r="C1585" s="2" t="s">
        <v>10</v>
      </c>
      <c r="D1585" s="2" t="s">
        <v>2790</v>
      </c>
      <c r="E1585" s="2" t="s">
        <v>2797</v>
      </c>
      <c r="F1585" s="2" t="s">
        <v>2798</v>
      </c>
      <c r="G1585" s="11">
        <v>0</v>
      </c>
      <c r="H1585" s="11">
        <f>1+0+1</f>
        <v>2</v>
      </c>
      <c r="I1585" s="11">
        <f>0+0+0</f>
        <v>0</v>
      </c>
      <c r="J1585" s="2" t="s">
        <v>1395</v>
      </c>
    </row>
    <row r="1586" spans="1:10" ht="60">
      <c r="A1586" s="2">
        <v>2023</v>
      </c>
      <c r="B1586" s="1" t="s">
        <v>9</v>
      </c>
      <c r="C1586" s="2" t="s">
        <v>10</v>
      </c>
      <c r="D1586" s="2" t="s">
        <v>2799</v>
      </c>
      <c r="E1586" s="2" t="s">
        <v>2800</v>
      </c>
      <c r="F1586" s="2" t="s">
        <v>2801</v>
      </c>
      <c r="G1586" s="11">
        <v>0</v>
      </c>
      <c r="H1586" s="3">
        <f t="shared" ref="H1586:I1586" si="437">0%+0%+100%</f>
        <v>1</v>
      </c>
      <c r="I1586" s="3">
        <f t="shared" si="437"/>
        <v>1</v>
      </c>
      <c r="J1586" s="2" t="s">
        <v>1395</v>
      </c>
    </row>
    <row r="1587" spans="1:10" ht="60">
      <c r="A1587" s="2">
        <v>2023</v>
      </c>
      <c r="B1587" s="1" t="s">
        <v>9</v>
      </c>
      <c r="C1587" s="2" t="s">
        <v>10</v>
      </c>
      <c r="D1587" s="2" t="s">
        <v>2799</v>
      </c>
      <c r="E1587" s="2" t="s">
        <v>2802</v>
      </c>
      <c r="F1587" s="2" t="s">
        <v>2803</v>
      </c>
      <c r="G1587" s="11">
        <v>0</v>
      </c>
      <c r="H1587" s="3">
        <f t="shared" ref="H1587:I1587" si="438">0%+0%+100%</f>
        <v>1</v>
      </c>
      <c r="I1587" s="3">
        <f t="shared" si="438"/>
        <v>1</v>
      </c>
      <c r="J1587" s="2" t="s">
        <v>1395</v>
      </c>
    </row>
    <row r="1588" spans="1:10" ht="72">
      <c r="A1588" s="2">
        <v>2023</v>
      </c>
      <c r="B1588" s="1" t="s">
        <v>9</v>
      </c>
      <c r="C1588" s="2" t="s">
        <v>10</v>
      </c>
      <c r="D1588" s="2" t="s">
        <v>2799</v>
      </c>
      <c r="E1588" s="2" t="s">
        <v>2804</v>
      </c>
      <c r="F1588" s="2" t="s">
        <v>2805</v>
      </c>
      <c r="G1588" s="11">
        <v>0</v>
      </c>
      <c r="H1588" s="3">
        <f t="shared" ref="H1588:I1588" si="439">0%+0%+100%</f>
        <v>1</v>
      </c>
      <c r="I1588" s="3">
        <f t="shared" si="439"/>
        <v>1</v>
      </c>
      <c r="J1588" s="2" t="s">
        <v>1395</v>
      </c>
    </row>
    <row r="1589" spans="1:10" ht="48">
      <c r="A1589" s="2">
        <v>2023</v>
      </c>
      <c r="B1589" s="1" t="s">
        <v>9</v>
      </c>
      <c r="C1589" s="2" t="s">
        <v>10</v>
      </c>
      <c r="D1589" s="2" t="s">
        <v>2799</v>
      </c>
      <c r="E1589" s="2" t="s">
        <v>2806</v>
      </c>
      <c r="F1589" s="2" t="s">
        <v>2807</v>
      </c>
      <c r="G1589" s="11">
        <v>0</v>
      </c>
      <c r="H1589" s="11">
        <f>0+1+1</f>
        <v>2</v>
      </c>
      <c r="I1589" s="11">
        <f>0+0+0</f>
        <v>0</v>
      </c>
      <c r="J1589" s="2" t="s">
        <v>1395</v>
      </c>
    </row>
    <row r="1590" spans="1:10" ht="36">
      <c r="A1590" s="2">
        <v>2023</v>
      </c>
      <c r="B1590" s="1" t="s">
        <v>9</v>
      </c>
      <c r="C1590" s="2" t="s">
        <v>2808</v>
      </c>
      <c r="D1590" s="2" t="s">
        <v>2809</v>
      </c>
      <c r="E1590" s="2" t="s">
        <v>2723</v>
      </c>
      <c r="F1590" s="2" t="s">
        <v>2724</v>
      </c>
      <c r="G1590" s="11">
        <v>0</v>
      </c>
      <c r="H1590" s="3">
        <f t="shared" ref="H1590:H1591" si="440">0%+0%+100%</f>
        <v>1</v>
      </c>
      <c r="I1590" s="3">
        <f t="shared" ref="I1590:I1591" si="441">0%+0%+48.27%</f>
        <v>0.48270000000000002</v>
      </c>
      <c r="J1590" s="2" t="s">
        <v>2725</v>
      </c>
    </row>
    <row r="1591" spans="1:10" ht="36">
      <c r="A1591" s="2">
        <v>2023</v>
      </c>
      <c r="B1591" s="1" t="s">
        <v>9</v>
      </c>
      <c r="C1591" s="2" t="s">
        <v>2808</v>
      </c>
      <c r="D1591" s="2" t="s">
        <v>2809</v>
      </c>
      <c r="E1591" s="2" t="s">
        <v>2726</v>
      </c>
      <c r="F1591" s="2" t="s">
        <v>2727</v>
      </c>
      <c r="G1591" s="11">
        <v>0</v>
      </c>
      <c r="H1591" s="3">
        <f t="shared" si="440"/>
        <v>1</v>
      </c>
      <c r="I1591" s="3">
        <f t="shared" si="441"/>
        <v>0.48270000000000002</v>
      </c>
      <c r="J1591" s="2" t="s">
        <v>2725</v>
      </c>
    </row>
    <row r="1592" spans="1:10" ht="36">
      <c r="A1592" s="2">
        <v>2023</v>
      </c>
      <c r="B1592" s="1" t="s">
        <v>9</v>
      </c>
      <c r="C1592" s="2" t="s">
        <v>2808</v>
      </c>
      <c r="D1592" s="2" t="s">
        <v>2809</v>
      </c>
      <c r="E1592" s="2" t="s">
        <v>2810</v>
      </c>
      <c r="F1592" s="2" t="s">
        <v>2810</v>
      </c>
      <c r="G1592" s="11">
        <v>13410</v>
      </c>
      <c r="H1592" s="3">
        <f t="shared" ref="H1592:H1595" si="442">18%+18%+10%</f>
        <v>0.45999999999999996</v>
      </c>
      <c r="I1592" s="3">
        <f>6.84%+33.34%+14.72%</f>
        <v>0.54900000000000004</v>
      </c>
      <c r="J1592" s="2" t="s">
        <v>2725</v>
      </c>
    </row>
    <row r="1593" spans="1:10" ht="36">
      <c r="A1593" s="2">
        <v>2023</v>
      </c>
      <c r="B1593" s="1" t="s">
        <v>9</v>
      </c>
      <c r="C1593" s="2" t="s">
        <v>2808</v>
      </c>
      <c r="D1593" s="2" t="s">
        <v>2809</v>
      </c>
      <c r="E1593" s="2" t="s">
        <v>2811</v>
      </c>
      <c r="F1593" s="2" t="s">
        <v>2810</v>
      </c>
      <c r="G1593" s="11">
        <v>31290</v>
      </c>
      <c r="H1593" s="3">
        <f t="shared" si="442"/>
        <v>0.45999999999999996</v>
      </c>
      <c r="I1593" s="3">
        <f>0%+0%+0%</f>
        <v>0</v>
      </c>
      <c r="J1593" s="2" t="s">
        <v>2725</v>
      </c>
    </row>
    <row r="1594" spans="1:10" ht="36">
      <c r="A1594" s="2">
        <v>2023</v>
      </c>
      <c r="B1594" s="1" t="s">
        <v>9</v>
      </c>
      <c r="C1594" s="2" t="s">
        <v>2808</v>
      </c>
      <c r="D1594" s="2" t="s">
        <v>2809</v>
      </c>
      <c r="E1594" s="2" t="s">
        <v>2812</v>
      </c>
      <c r="F1594" s="2" t="s">
        <v>2813</v>
      </c>
      <c r="G1594" s="11">
        <v>13410</v>
      </c>
      <c r="H1594" s="3">
        <f t="shared" si="442"/>
        <v>0.45999999999999996</v>
      </c>
      <c r="I1594" s="3">
        <f>6.84%+33.34%+14.72%</f>
        <v>0.54900000000000004</v>
      </c>
      <c r="J1594" s="2" t="s">
        <v>2725</v>
      </c>
    </row>
    <row r="1595" spans="1:10" ht="36">
      <c r="A1595" s="2">
        <v>2023</v>
      </c>
      <c r="B1595" s="1" t="s">
        <v>9</v>
      </c>
      <c r="C1595" s="2" t="s">
        <v>2808</v>
      </c>
      <c r="D1595" s="2" t="s">
        <v>2809</v>
      </c>
      <c r="E1595" s="2" t="s">
        <v>2812</v>
      </c>
      <c r="F1595" s="2" t="s">
        <v>2813</v>
      </c>
      <c r="G1595" s="11">
        <v>31290</v>
      </c>
      <c r="H1595" s="3">
        <f t="shared" si="442"/>
        <v>0.45999999999999996</v>
      </c>
      <c r="I1595" s="3">
        <f>0%+0%+0%</f>
        <v>0</v>
      </c>
      <c r="J1595" s="2" t="s">
        <v>2725</v>
      </c>
    </row>
    <row r="1596" spans="1:10" ht="48">
      <c r="A1596" s="40">
        <v>2023</v>
      </c>
      <c r="B1596" s="1" t="s">
        <v>9</v>
      </c>
      <c r="C1596" s="41" t="s">
        <v>2153</v>
      </c>
      <c r="D1596" s="2" t="s">
        <v>2814</v>
      </c>
      <c r="E1596" s="2" t="s">
        <v>2815</v>
      </c>
      <c r="F1596" s="2" t="s">
        <v>2816</v>
      </c>
      <c r="G1596" s="2">
        <v>0</v>
      </c>
      <c r="H1596" s="3">
        <f t="shared" ref="H1596:I1596" si="443">0+0+100%</f>
        <v>1</v>
      </c>
      <c r="I1596" s="42">
        <f t="shared" si="443"/>
        <v>1</v>
      </c>
      <c r="J1596" s="10" t="s">
        <v>2199</v>
      </c>
    </row>
    <row r="1597" spans="1:10" ht="48">
      <c r="A1597" s="40">
        <v>2023</v>
      </c>
      <c r="B1597" s="1" t="s">
        <v>9</v>
      </c>
      <c r="C1597" s="41" t="s">
        <v>2153</v>
      </c>
      <c r="D1597" s="2" t="s">
        <v>2814</v>
      </c>
      <c r="E1597" s="2" t="s">
        <v>2817</v>
      </c>
      <c r="F1597" s="2" t="s">
        <v>2818</v>
      </c>
      <c r="G1597" s="2">
        <v>0</v>
      </c>
      <c r="H1597" s="3">
        <f t="shared" ref="H1597:I1597" si="444">0+0+100%</f>
        <v>1</v>
      </c>
      <c r="I1597" s="42">
        <f t="shared" si="444"/>
        <v>1</v>
      </c>
      <c r="J1597" s="10" t="s">
        <v>2199</v>
      </c>
    </row>
    <row r="1598" spans="1:10" ht="132">
      <c r="A1598" s="40">
        <v>2023</v>
      </c>
      <c r="B1598" s="1" t="s">
        <v>9</v>
      </c>
      <c r="C1598" s="41" t="s">
        <v>2153</v>
      </c>
      <c r="D1598" s="2" t="s">
        <v>2814</v>
      </c>
      <c r="E1598" s="2" t="s">
        <v>2819</v>
      </c>
      <c r="F1598" s="2" t="s">
        <v>2820</v>
      </c>
      <c r="G1598" s="3">
        <v>0</v>
      </c>
      <c r="H1598" s="3">
        <f t="shared" ref="H1598:H1599" si="445">16%+20%+0%</f>
        <v>0.36</v>
      </c>
      <c r="I1598" s="42">
        <f t="shared" ref="I1598:I1599" si="446">20%+20%+0%</f>
        <v>0.4</v>
      </c>
      <c r="J1598" s="10" t="s">
        <v>2199</v>
      </c>
    </row>
    <row r="1599" spans="1:10" ht="84">
      <c r="A1599" s="40">
        <v>2023</v>
      </c>
      <c r="B1599" s="1" t="s">
        <v>9</v>
      </c>
      <c r="C1599" s="41" t="s">
        <v>2153</v>
      </c>
      <c r="D1599" s="2" t="s">
        <v>2814</v>
      </c>
      <c r="E1599" s="2" t="s">
        <v>2821</v>
      </c>
      <c r="F1599" s="2" t="s">
        <v>2820</v>
      </c>
      <c r="G1599" s="3">
        <v>0</v>
      </c>
      <c r="H1599" s="3">
        <f t="shared" si="445"/>
        <v>0.36</v>
      </c>
      <c r="I1599" s="42">
        <f t="shared" si="446"/>
        <v>0.4</v>
      </c>
      <c r="J1599" s="10" t="s">
        <v>2199</v>
      </c>
    </row>
    <row r="1600" spans="1:10" ht="48">
      <c r="A1600" s="40">
        <v>2023</v>
      </c>
      <c r="B1600" s="1" t="s">
        <v>9</v>
      </c>
      <c r="C1600" s="41" t="s">
        <v>2153</v>
      </c>
      <c r="D1600" s="2" t="s">
        <v>2814</v>
      </c>
      <c r="E1600" s="2" t="s">
        <v>2822</v>
      </c>
      <c r="F1600" s="2" t="s">
        <v>2823</v>
      </c>
      <c r="G1600" s="2">
        <v>6</v>
      </c>
      <c r="H1600" s="2">
        <f t="shared" ref="H1600:I1600" si="447">1+1+0</f>
        <v>2</v>
      </c>
      <c r="I1600" s="10">
        <f t="shared" si="447"/>
        <v>2</v>
      </c>
      <c r="J1600" s="10" t="s">
        <v>2199</v>
      </c>
    </row>
    <row r="1601" spans="1:10" ht="48">
      <c r="A1601" s="40">
        <v>2023</v>
      </c>
      <c r="B1601" s="1" t="s">
        <v>9</v>
      </c>
      <c r="C1601" s="41" t="s">
        <v>2153</v>
      </c>
      <c r="D1601" s="2" t="s">
        <v>2814</v>
      </c>
      <c r="E1601" s="2" t="s">
        <v>2824</v>
      </c>
      <c r="F1601" s="2" t="s">
        <v>2825</v>
      </c>
      <c r="G1601" s="2">
        <v>7</v>
      </c>
      <c r="H1601" s="2">
        <f t="shared" ref="H1601:I1601" si="448">1+1+1</f>
        <v>3</v>
      </c>
      <c r="I1601" s="10">
        <f t="shared" si="448"/>
        <v>3</v>
      </c>
      <c r="J1601" s="10" t="s">
        <v>2199</v>
      </c>
    </row>
    <row r="1602" spans="1:10" ht="48">
      <c r="A1602" s="40">
        <v>2023</v>
      </c>
      <c r="B1602" s="1" t="s">
        <v>9</v>
      </c>
      <c r="C1602" s="41" t="s">
        <v>2153</v>
      </c>
      <c r="D1602" s="2" t="s">
        <v>2814</v>
      </c>
      <c r="E1602" s="2" t="s">
        <v>2826</v>
      </c>
      <c r="F1602" s="2" t="s">
        <v>2827</v>
      </c>
      <c r="G1602" s="2">
        <v>7</v>
      </c>
      <c r="H1602" s="2">
        <f t="shared" ref="H1602:I1602" si="449">1+1+1</f>
        <v>3</v>
      </c>
      <c r="I1602" s="10">
        <f t="shared" si="449"/>
        <v>3</v>
      </c>
      <c r="J1602" s="10" t="s">
        <v>2199</v>
      </c>
    </row>
    <row r="1603" spans="1:10" ht="48">
      <c r="A1603" s="40">
        <v>2023</v>
      </c>
      <c r="B1603" s="1" t="s">
        <v>9</v>
      </c>
      <c r="C1603" s="41" t="s">
        <v>2153</v>
      </c>
      <c r="D1603" s="2" t="s">
        <v>2814</v>
      </c>
      <c r="E1603" s="2" t="s">
        <v>2828</v>
      </c>
      <c r="F1603" s="2" t="s">
        <v>2829</v>
      </c>
      <c r="G1603" s="2">
        <v>10</v>
      </c>
      <c r="H1603" s="2">
        <f t="shared" ref="H1603:I1603" si="450">2+1+1</f>
        <v>4</v>
      </c>
      <c r="I1603" s="10">
        <f t="shared" si="450"/>
        <v>4</v>
      </c>
      <c r="J1603" s="10" t="s">
        <v>2199</v>
      </c>
    </row>
    <row r="1604" spans="1:10" ht="48">
      <c r="A1604" s="2">
        <v>2023</v>
      </c>
      <c r="B1604" s="1" t="s">
        <v>9</v>
      </c>
      <c r="C1604" s="2" t="s">
        <v>2153</v>
      </c>
      <c r="D1604" s="2" t="s">
        <v>2814</v>
      </c>
      <c r="E1604" s="2" t="s">
        <v>2828</v>
      </c>
      <c r="F1604" s="2" t="s">
        <v>2829</v>
      </c>
      <c r="G1604" s="2">
        <v>10</v>
      </c>
      <c r="H1604" s="2">
        <f t="shared" ref="H1604:I1604" si="451">2+1+1</f>
        <v>4</v>
      </c>
      <c r="I1604" s="10">
        <f t="shared" si="451"/>
        <v>4</v>
      </c>
      <c r="J1604" s="10" t="s">
        <v>2199</v>
      </c>
    </row>
  </sheetData>
  <customSheetViews>
    <customSheetView guid="{55B376B8-1F83-4EB0-AC61-A6ED25315249}" filter="1" showAutoFilter="1">
      <pageMargins left="0.7" right="0.7" top="0.75" bottom="0.75" header="0.3" footer="0.3"/>
      <autoFilter ref="A2:J1604" xr:uid="{65F7589E-676C-4ABC-83E2-46780A0960A0}">
        <filterColumn colId="3">
          <filters>
            <filter val="Cultura Viva para Pachuca."/>
          </filters>
        </filterColumn>
      </autoFilter>
    </customSheetView>
  </customSheetViews>
  <mergeCells count="1">
    <mergeCell ref="A1:J1"/>
  </mergeCells>
  <printOptions horizontalCentered="1"/>
  <pageMargins left="0.19685039370078738" right="0.19685039370078738" top="0.19685039370078738" bottom="0.6" header="0" footer="0"/>
  <pageSetup fitToHeight="0" pageOrder="overThenDown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DATASETS Cuarto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Roxana</cp:lastModifiedBy>
  <dcterms:modified xsi:type="dcterms:W3CDTF">2024-02-10T00:22:02Z</dcterms:modified>
</cp:coreProperties>
</file>